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erenumag294.sharepoint.com/sites/QMThermischeNetze/Freigegebene Dokumente/03 Tools/Sensitivitaet-Wirtschaftlichkeit/"/>
    </mc:Choice>
  </mc:AlternateContent>
  <xr:revisionPtr revIDLastSave="415" documentId="8_{948DE6B7-24A9-4370-8BEB-4D0712B181AF}" xr6:coauthVersionLast="47" xr6:coauthVersionMax="47" xr10:uidLastSave="{8549A436-BCBA-4793-97B9-DF210E98D4E0}"/>
  <workbookProtection workbookAlgorithmName="SHA-512" workbookHashValue="cGuO+34i2Cv4NYepz/08RD//5lL8hAvfdsT0YCLNvTMPItQmI6zgOkMGwXxSOoH5hbd4VWNeyP4vPm04NO0nnw==" workbookSaltValue="/2QBahAS+AjzJxepnT4cew==" workbookSpinCount="100000" lockStructure="1"/>
  <bookViews>
    <workbookView xWindow="38280" yWindow="-120" windowWidth="38640" windowHeight="21120" xr2:uid="{00000000-000D-0000-FFFF-FFFF00000000}"/>
  </bookViews>
  <sheets>
    <sheet name="Eingaben" sheetId="23" r:id="rId1"/>
    <sheet name="Diagramm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6" i="23" l="1"/>
  <c r="G56" i="23"/>
  <c r="U51" i="23"/>
  <c r="T51" i="23"/>
  <c r="S51" i="23"/>
  <c r="R51" i="23"/>
  <c r="Q51" i="23"/>
  <c r="U31" i="23"/>
  <c r="U38" i="23" s="1"/>
  <c r="U46" i="23" s="1"/>
  <c r="T31" i="23"/>
  <c r="T38" i="23" s="1"/>
  <c r="T46" i="23" s="1"/>
  <c r="S31" i="23"/>
  <c r="S38" i="23" s="1"/>
  <c r="S46" i="23" s="1"/>
  <c r="R31" i="23"/>
  <c r="Q31" i="23"/>
  <c r="Q38" i="23" s="1"/>
  <c r="Q46" i="23" s="1"/>
  <c r="F56" i="23" l="1"/>
  <c r="I56" i="23"/>
  <c r="H56" i="23"/>
  <c r="Q68" i="23"/>
  <c r="R68" i="23"/>
  <c r="S68" i="23"/>
  <c r="T68" i="23"/>
  <c r="U68" i="23"/>
  <c r="O56" i="23"/>
  <c r="N56" i="23"/>
  <c r="M56" i="23"/>
  <c r="L56" i="23"/>
  <c r="K56" i="23"/>
  <c r="Q69" i="23"/>
  <c r="Q70" i="23" s="1"/>
  <c r="Q71" i="23" s="1"/>
  <c r="R69" i="23"/>
  <c r="R70" i="23" s="1"/>
  <c r="R71" i="23" s="1"/>
  <c r="S69" i="23"/>
  <c r="S70" i="23" s="1"/>
  <c r="S71" i="23" s="1"/>
  <c r="T69" i="23"/>
  <c r="T70" i="23" s="1"/>
  <c r="T71" i="23" s="1"/>
  <c r="U69" i="23"/>
  <c r="U70" i="23" s="1"/>
  <c r="U71" i="23" s="1"/>
  <c r="E56" i="23"/>
  <c r="U56" i="23"/>
  <c r="T56" i="23"/>
  <c r="S56" i="23"/>
  <c r="R56" i="23"/>
  <c r="Q56" i="23"/>
  <c r="P56" i="23"/>
  <c r="Q37" i="23"/>
  <c r="S37" i="23"/>
  <c r="T37" i="23"/>
  <c r="R38" i="23"/>
  <c r="R46" i="23" s="1"/>
  <c r="R37" i="23"/>
  <c r="U37" i="23"/>
  <c r="C14" i="23" l="1"/>
  <c r="E32" i="23" s="1"/>
  <c r="E31" i="23"/>
  <c r="E38" i="23" s="1"/>
  <c r="E46" i="23" s="1"/>
  <c r="E37" i="23"/>
  <c r="E51" i="23"/>
  <c r="E62" i="23"/>
  <c r="L62" i="23" s="1"/>
  <c r="F31" i="23"/>
  <c r="F51" i="23"/>
  <c r="G31" i="23"/>
  <c r="G38" i="23" s="1"/>
  <c r="G46" i="23" s="1"/>
  <c r="G37" i="23"/>
  <c r="G51" i="23"/>
  <c r="H31" i="23"/>
  <c r="H37" i="23"/>
  <c r="H51" i="23"/>
  <c r="I31" i="23"/>
  <c r="I37" i="23" s="1"/>
  <c r="I51" i="23"/>
  <c r="J31" i="23"/>
  <c r="J37" i="23" s="1"/>
  <c r="J38" i="23"/>
  <c r="J46" i="23" s="1"/>
  <c r="J51" i="23"/>
  <c r="K31" i="23"/>
  <c r="K38" i="23" s="1"/>
  <c r="K46" i="23" s="1"/>
  <c r="K51" i="23"/>
  <c r="L31" i="23"/>
  <c r="L38" i="23" s="1"/>
  <c r="L46" i="23" s="1"/>
  <c r="L51" i="23"/>
  <c r="M31" i="23"/>
  <c r="M38" i="23" s="1"/>
  <c r="M46" i="23" s="1"/>
  <c r="M51" i="23"/>
  <c r="N31" i="23"/>
  <c r="N38" i="23" s="1"/>
  <c r="N46" i="23" s="1"/>
  <c r="N51" i="23"/>
  <c r="O31" i="23"/>
  <c r="O38" i="23" s="1"/>
  <c r="O46" i="23" s="1"/>
  <c r="O51" i="23"/>
  <c r="P31" i="23"/>
  <c r="P37" i="23" s="1"/>
  <c r="P38" i="23"/>
  <c r="P46" i="23" s="1"/>
  <c r="P51" i="23"/>
  <c r="P62" i="23"/>
  <c r="H19" i="23"/>
  <c r="P69" i="23"/>
  <c r="P70" i="23" s="1"/>
  <c r="P71" i="23" s="1"/>
  <c r="C21" i="23"/>
  <c r="C23" i="23" s="1"/>
  <c r="O69" i="23"/>
  <c r="O70" i="23" s="1"/>
  <c r="O71" i="23" s="1"/>
  <c r="N69" i="23"/>
  <c r="N70" i="23" s="1"/>
  <c r="N71" i="23" s="1"/>
  <c r="M69" i="23"/>
  <c r="M70" i="23" s="1"/>
  <c r="M71" i="23" s="1"/>
  <c r="L69" i="23"/>
  <c r="L70" i="23" s="1"/>
  <c r="L71" i="23" s="1"/>
  <c r="K69" i="23"/>
  <c r="K70" i="23" s="1"/>
  <c r="K71" i="23" s="1"/>
  <c r="J69" i="23"/>
  <c r="J70" i="23" s="1"/>
  <c r="J71" i="23" s="1"/>
  <c r="I69" i="23"/>
  <c r="I70" i="23" s="1"/>
  <c r="I71" i="23" s="1"/>
  <c r="H69" i="23"/>
  <c r="H70" i="23" s="1"/>
  <c r="H71" i="23" s="1"/>
  <c r="G69" i="23"/>
  <c r="G70" i="23" s="1"/>
  <c r="G71" i="23" s="1"/>
  <c r="F69" i="23"/>
  <c r="F70" i="23" s="1"/>
  <c r="F71" i="23" s="1"/>
  <c r="E69" i="23"/>
  <c r="E70" i="23" s="1"/>
  <c r="E71" i="23" s="1"/>
  <c r="M16" i="23"/>
  <c r="F68" i="23"/>
  <c r="G68" i="23"/>
  <c r="H68" i="23"/>
  <c r="I68" i="23"/>
  <c r="J68" i="23"/>
  <c r="K68" i="23"/>
  <c r="L68" i="23"/>
  <c r="M68" i="23"/>
  <c r="N68" i="23"/>
  <c r="O68" i="23"/>
  <c r="P68" i="23"/>
  <c r="E68" i="23"/>
  <c r="H32" i="23" l="1"/>
  <c r="H33" i="23" s="1"/>
  <c r="H50" i="23" s="1"/>
  <c r="K32" i="23"/>
  <c r="K33" i="23" s="1"/>
  <c r="K50" i="23" s="1"/>
  <c r="P32" i="23"/>
  <c r="P33" i="23" s="1"/>
  <c r="P50" i="23" s="1"/>
  <c r="J32" i="23"/>
  <c r="J33" i="23" s="1"/>
  <c r="J50" i="23" s="1"/>
  <c r="F30" i="23"/>
  <c r="E30" i="23"/>
  <c r="M72" i="23"/>
  <c r="J30" i="23"/>
  <c r="J75" i="23"/>
  <c r="J76" i="23" s="1"/>
  <c r="J77" i="23" s="1"/>
  <c r="I32" i="23"/>
  <c r="I33" i="23" s="1"/>
  <c r="I50" i="23" s="1"/>
  <c r="G62" i="23"/>
  <c r="O32" i="23"/>
  <c r="O33" i="23" s="1"/>
  <c r="G30" i="23"/>
  <c r="I30" i="23"/>
  <c r="L32" i="23"/>
  <c r="L33" i="23" s="1"/>
  <c r="L50" i="23" s="1"/>
  <c r="G32" i="23"/>
  <c r="G33" i="23" s="1"/>
  <c r="G50" i="23" s="1"/>
  <c r="P75" i="23"/>
  <c r="P76" i="23" s="1"/>
  <c r="P77" i="23" s="1"/>
  <c r="K62" i="23"/>
  <c r="E75" i="23"/>
  <c r="E76" i="23" s="1"/>
  <c r="E77" i="23" s="1"/>
  <c r="M75" i="23"/>
  <c r="M76" i="23" s="1"/>
  <c r="M77" i="23" s="1"/>
  <c r="F37" i="23"/>
  <c r="J62" i="23"/>
  <c r="O62" i="23"/>
  <c r="F38" i="23"/>
  <c r="F46" i="23" s="1"/>
  <c r="G75" i="23"/>
  <c r="G76" i="23" s="1"/>
  <c r="G77" i="23" s="1"/>
  <c r="J72" i="23"/>
  <c r="F62" i="23"/>
  <c r="U62" i="23"/>
  <c r="T62" i="23"/>
  <c r="S62" i="23"/>
  <c r="R62" i="23"/>
  <c r="Q62" i="23"/>
  <c r="S72" i="23"/>
  <c r="T72" i="23"/>
  <c r="U72" i="23"/>
  <c r="Q72" i="23"/>
  <c r="R72" i="23"/>
  <c r="I75" i="23"/>
  <c r="I76" i="23" s="1"/>
  <c r="I77" i="23" s="1"/>
  <c r="N62" i="23"/>
  <c r="U75" i="23"/>
  <c r="U76" i="23" s="1"/>
  <c r="U77" i="23" s="1"/>
  <c r="T75" i="23"/>
  <c r="T76" i="23" s="1"/>
  <c r="T77" i="23" s="1"/>
  <c r="S75" i="23"/>
  <c r="S76" i="23" s="1"/>
  <c r="S77" i="23" s="1"/>
  <c r="R75" i="23"/>
  <c r="R76" i="23" s="1"/>
  <c r="R77" i="23" s="1"/>
  <c r="Q75" i="23"/>
  <c r="Q76" i="23" s="1"/>
  <c r="Q77" i="23" s="1"/>
  <c r="F32" i="23"/>
  <c r="F33" i="23" s="1"/>
  <c r="U32" i="23"/>
  <c r="T32" i="23"/>
  <c r="S32" i="23"/>
  <c r="R32" i="23"/>
  <c r="Q32" i="23"/>
  <c r="N32" i="23"/>
  <c r="N33" i="23" s="1"/>
  <c r="Q30" i="23"/>
  <c r="R30" i="23"/>
  <c r="U30" i="23"/>
  <c r="S30" i="23"/>
  <c r="T30" i="23"/>
  <c r="H30" i="23"/>
  <c r="L75" i="23"/>
  <c r="L76" i="23" s="1"/>
  <c r="L77" i="23" s="1"/>
  <c r="H72" i="23"/>
  <c r="F75" i="23"/>
  <c r="F76" i="23" s="1"/>
  <c r="F77" i="23" s="1"/>
  <c r="G72" i="23"/>
  <c r="P72" i="23"/>
  <c r="E72" i="23"/>
  <c r="K72" i="23"/>
  <c r="N72" i="23"/>
  <c r="H75" i="23"/>
  <c r="H76" i="23" s="1"/>
  <c r="H77" i="23" s="1"/>
  <c r="K75" i="23"/>
  <c r="K76" i="23" s="1"/>
  <c r="K77" i="23" s="1"/>
  <c r="N75" i="23"/>
  <c r="N76" i="23" s="1"/>
  <c r="N77" i="23" s="1"/>
  <c r="I62" i="23"/>
  <c r="M62" i="23"/>
  <c r="L72" i="23"/>
  <c r="O72" i="23"/>
  <c r="H62" i="23"/>
  <c r="M32" i="23"/>
  <c r="M33" i="23" s="1"/>
  <c r="K37" i="23"/>
  <c r="L37" i="23"/>
  <c r="M37" i="23"/>
  <c r="P30" i="23"/>
  <c r="N37" i="23"/>
  <c r="O37" i="23"/>
  <c r="I72" i="23"/>
  <c r="N30" i="23"/>
  <c r="H38" i="23"/>
  <c r="H46" i="23" s="1"/>
  <c r="I38" i="23"/>
  <c r="I46" i="23" s="1"/>
  <c r="E33" i="23"/>
  <c r="F72" i="23"/>
  <c r="J57" i="23"/>
  <c r="J58" i="23" s="1"/>
  <c r="L30" i="23"/>
  <c r="O30" i="23"/>
  <c r="M30" i="23"/>
  <c r="K30" i="23"/>
  <c r="G57" i="23"/>
  <c r="G58" i="23" s="1"/>
  <c r="K36" i="23" l="1"/>
  <c r="K39" i="23" s="1"/>
  <c r="I57" i="23"/>
  <c r="I58" i="23" s="1"/>
  <c r="O50" i="23"/>
  <c r="O36" i="23"/>
  <c r="L36" i="23"/>
  <c r="L39" i="23" s="1"/>
  <c r="E57" i="23"/>
  <c r="E58" i="23" s="1"/>
  <c r="P57" i="23"/>
  <c r="P58" i="23" s="1"/>
  <c r="I36" i="23"/>
  <c r="I44" i="23" s="1"/>
  <c r="P36" i="23"/>
  <c r="P44" i="23" s="1"/>
  <c r="M57" i="23"/>
  <c r="M58" i="23" s="1"/>
  <c r="O75" i="23"/>
  <c r="O76" i="23" s="1"/>
  <c r="O77" i="23" s="1"/>
  <c r="O57" i="23"/>
  <c r="O58" i="23" s="1"/>
  <c r="Q57" i="23"/>
  <c r="Q58" i="23" s="1"/>
  <c r="S57" i="23"/>
  <c r="S58" i="23" s="1"/>
  <c r="H57" i="23"/>
  <c r="H58" i="23" s="1"/>
  <c r="T57" i="23"/>
  <c r="T58" i="23" s="1"/>
  <c r="U57" i="23"/>
  <c r="U58" i="23" s="1"/>
  <c r="R57" i="23"/>
  <c r="R58" i="23" s="1"/>
  <c r="H36" i="23"/>
  <c r="H45" i="23" s="1"/>
  <c r="G36" i="23"/>
  <c r="G39" i="23" s="1"/>
  <c r="N50" i="23"/>
  <c r="N36" i="23"/>
  <c r="Q33" i="23"/>
  <c r="R33" i="23"/>
  <c r="S33" i="23"/>
  <c r="T33" i="23"/>
  <c r="U33" i="23"/>
  <c r="K57" i="23"/>
  <c r="K58" i="23" s="1"/>
  <c r="J36" i="23"/>
  <c r="J39" i="23" s="1"/>
  <c r="N57" i="23"/>
  <c r="N58" i="23" s="1"/>
  <c r="M50" i="23"/>
  <c r="M36" i="23"/>
  <c r="F57" i="23"/>
  <c r="F58" i="23" s="1"/>
  <c r="L57" i="23"/>
  <c r="L58" i="23" s="1"/>
  <c r="F50" i="23"/>
  <c r="F36" i="23"/>
  <c r="E50" i="23"/>
  <c r="E36" i="23"/>
  <c r="P45" i="23" l="1"/>
  <c r="K44" i="23"/>
  <c r="K45" i="23"/>
  <c r="K43" i="23"/>
  <c r="H44" i="23"/>
  <c r="H43" i="23"/>
  <c r="H39" i="23"/>
  <c r="H40" i="23" s="1"/>
  <c r="H41" i="23" s="1"/>
  <c r="H42" i="23" s="1"/>
  <c r="P43" i="23"/>
  <c r="P39" i="23"/>
  <c r="P40" i="23" s="1"/>
  <c r="P41" i="23" s="1"/>
  <c r="P42" i="23" s="1"/>
  <c r="I39" i="23"/>
  <c r="I40" i="23" s="1"/>
  <c r="I41" i="23" s="1"/>
  <c r="I42" i="23" s="1"/>
  <c r="I43" i="23"/>
  <c r="O44" i="23"/>
  <c r="O39" i="23"/>
  <c r="O40" i="23" s="1"/>
  <c r="O41" i="23" s="1"/>
  <c r="O42" i="23" s="1"/>
  <c r="O43" i="23"/>
  <c r="O45" i="23"/>
  <c r="L45" i="23"/>
  <c r="L44" i="23"/>
  <c r="L43" i="23"/>
  <c r="J45" i="23"/>
  <c r="I45" i="23"/>
  <c r="G45" i="23"/>
  <c r="G44" i="23"/>
  <c r="G43" i="23"/>
  <c r="J44" i="23"/>
  <c r="J43" i="23"/>
  <c r="U50" i="23"/>
  <c r="U36" i="23"/>
  <c r="T50" i="23"/>
  <c r="T36" i="23"/>
  <c r="S50" i="23"/>
  <c r="S36" i="23"/>
  <c r="R50" i="23"/>
  <c r="R36" i="23"/>
  <c r="Q50" i="23"/>
  <c r="Q36" i="23"/>
  <c r="N43" i="23"/>
  <c r="N39" i="23"/>
  <c r="N45" i="23"/>
  <c r="N44" i="23"/>
  <c r="M39" i="23"/>
  <c r="M40" i="23" s="1"/>
  <c r="M41" i="23" s="1"/>
  <c r="M42" i="23" s="1"/>
  <c r="M44" i="23"/>
  <c r="M45" i="23"/>
  <c r="M43" i="23"/>
  <c r="J40" i="23"/>
  <c r="J41" i="23" s="1"/>
  <c r="J42" i="23" s="1"/>
  <c r="E45" i="23"/>
  <c r="E39" i="23"/>
  <c r="E43" i="23"/>
  <c r="E44" i="23"/>
  <c r="K40" i="23"/>
  <c r="K41" i="23" s="1"/>
  <c r="K42" i="23" s="1"/>
  <c r="L40" i="23"/>
  <c r="L41" i="23" s="1"/>
  <c r="L42" i="23" s="1"/>
  <c r="G40" i="23"/>
  <c r="G41" i="23" s="1"/>
  <c r="G42" i="23" s="1"/>
  <c r="F45" i="23"/>
  <c r="F39" i="23"/>
  <c r="F43" i="23"/>
  <c r="F44" i="23"/>
  <c r="P47" i="23" l="1"/>
  <c r="P49" i="23" s="1"/>
  <c r="P48" i="23" s="1"/>
  <c r="L47" i="23"/>
  <c r="L49" i="23" s="1"/>
  <c r="L52" i="23" s="1"/>
  <c r="L61" i="23" s="1"/>
  <c r="L63" i="23" s="1"/>
  <c r="L64" i="23" s="1"/>
  <c r="J47" i="23"/>
  <c r="J49" i="23" s="1"/>
  <c r="J48" i="23" s="1"/>
  <c r="M47" i="23"/>
  <c r="M49" i="23" s="1"/>
  <c r="M48" i="23" s="1"/>
  <c r="O47" i="23"/>
  <c r="O49" i="23" s="1"/>
  <c r="K47" i="23"/>
  <c r="K49" i="23" s="1"/>
  <c r="K48" i="23" s="1"/>
  <c r="U43" i="23"/>
  <c r="U45" i="23"/>
  <c r="U39" i="23"/>
  <c r="U44" i="23"/>
  <c r="N40" i="23"/>
  <c r="N41" i="23" s="1"/>
  <c r="N42" i="23" s="1"/>
  <c r="N47" i="23" s="1"/>
  <c r="N49" i="23" s="1"/>
  <c r="Q44" i="23"/>
  <c r="Q39" i="23"/>
  <c r="Q43" i="23"/>
  <c r="Q45" i="23"/>
  <c r="R39" i="23"/>
  <c r="R43" i="23"/>
  <c r="R44" i="23"/>
  <c r="R45" i="23"/>
  <c r="S39" i="23"/>
  <c r="S43" i="23"/>
  <c r="S44" i="23"/>
  <c r="S45" i="23"/>
  <c r="T39" i="23"/>
  <c r="T43" i="23"/>
  <c r="T44" i="23"/>
  <c r="T45" i="23"/>
  <c r="G47" i="23"/>
  <c r="G49" i="23" s="1"/>
  <c r="I47" i="23"/>
  <c r="I49" i="23" s="1"/>
  <c r="E40" i="23"/>
  <c r="E41" i="23" s="1"/>
  <c r="E42" i="23" s="1"/>
  <c r="H47" i="23"/>
  <c r="H49" i="23" s="1"/>
  <c r="F40" i="23"/>
  <c r="F41" i="23" s="1"/>
  <c r="F42" i="23" s="1"/>
  <c r="K35" i="23" l="1"/>
  <c r="K34" i="23"/>
  <c r="M35" i="23"/>
  <c r="M34" i="23"/>
  <c r="J35" i="23"/>
  <c r="J34" i="23"/>
  <c r="P35" i="23"/>
  <c r="P34" i="23"/>
  <c r="K52" i="23"/>
  <c r="K61" i="23" s="1"/>
  <c r="K63" i="23" s="1"/>
  <c r="K64" i="23" s="1"/>
  <c r="K65" i="23" s="1"/>
  <c r="L48" i="23"/>
  <c r="M52" i="23"/>
  <c r="M61" i="23" s="1"/>
  <c r="M63" i="23" s="1"/>
  <c r="M64" i="23" s="1"/>
  <c r="M80" i="23" s="1"/>
  <c r="M81" i="23" s="1"/>
  <c r="P52" i="23"/>
  <c r="P61" i="23" s="1"/>
  <c r="P63" i="23" s="1"/>
  <c r="P64" i="23" s="1"/>
  <c r="P65" i="23" s="1"/>
  <c r="J52" i="23"/>
  <c r="J61" i="23" s="1"/>
  <c r="J63" i="23" s="1"/>
  <c r="J64" i="23" s="1"/>
  <c r="J65" i="23" s="1"/>
  <c r="O48" i="23"/>
  <c r="O52" i="23"/>
  <c r="O61" i="23" s="1"/>
  <c r="O63" i="23" s="1"/>
  <c r="O64" i="23" s="1"/>
  <c r="Q40" i="23"/>
  <c r="Q41" i="23" s="1"/>
  <c r="Q42" i="23" s="1"/>
  <c r="N48" i="23"/>
  <c r="N52" i="23"/>
  <c r="N61" i="23" s="1"/>
  <c r="N63" i="23" s="1"/>
  <c r="N64" i="23" s="1"/>
  <c r="U40" i="23"/>
  <c r="U41" i="23" s="1"/>
  <c r="U42" i="23" s="1"/>
  <c r="T40" i="23"/>
  <c r="T41" i="23" s="1"/>
  <c r="T42" i="23" s="1"/>
  <c r="S40" i="23"/>
  <c r="S41" i="23" s="1"/>
  <c r="S42" i="23" s="1"/>
  <c r="R40" i="23"/>
  <c r="R41" i="23" s="1"/>
  <c r="R42" i="23" s="1"/>
  <c r="F47" i="23"/>
  <c r="F49" i="23" s="1"/>
  <c r="H52" i="23"/>
  <c r="H61" i="23" s="1"/>
  <c r="H63" i="23" s="1"/>
  <c r="H64" i="23" s="1"/>
  <c r="H48" i="23"/>
  <c r="E47" i="23"/>
  <c r="E49" i="23" s="1"/>
  <c r="I52" i="23"/>
  <c r="I61" i="23" s="1"/>
  <c r="I63" i="23" s="1"/>
  <c r="I64" i="23" s="1"/>
  <c r="I48" i="23"/>
  <c r="L65" i="23"/>
  <c r="L80" i="23"/>
  <c r="L81" i="23" s="1"/>
  <c r="G52" i="23"/>
  <c r="G61" i="23" s="1"/>
  <c r="G63" i="23" s="1"/>
  <c r="G64" i="23" s="1"/>
  <c r="G48" i="23"/>
  <c r="M83" i="23" l="1"/>
  <c r="N35" i="23"/>
  <c r="N34" i="23"/>
  <c r="O35" i="23"/>
  <c r="O34" i="23"/>
  <c r="G35" i="23"/>
  <c r="G34" i="23"/>
  <c r="L35" i="23"/>
  <c r="L34" i="23"/>
  <c r="L83" i="23" s="1"/>
  <c r="I35" i="23"/>
  <c r="I34" i="23"/>
  <c r="I83" i="23" s="1"/>
  <c r="H35" i="23"/>
  <c r="H34" i="23"/>
  <c r="K80" i="23"/>
  <c r="K81" i="23" s="1"/>
  <c r="K83" i="23" s="1"/>
  <c r="M65" i="23"/>
  <c r="P80" i="23"/>
  <c r="P81" i="23" s="1"/>
  <c r="P83" i="23" s="1"/>
  <c r="J80" i="23"/>
  <c r="J81" i="23" s="1"/>
  <c r="J83" i="23" s="1"/>
  <c r="O80" i="23"/>
  <c r="O81" i="23" s="1"/>
  <c r="O65" i="23"/>
  <c r="S47" i="23"/>
  <c r="S49" i="23" s="1"/>
  <c r="T47" i="23"/>
  <c r="T49" i="23" s="1"/>
  <c r="U47" i="23"/>
  <c r="U49" i="23" s="1"/>
  <c r="N80" i="23"/>
  <c r="N81" i="23" s="1"/>
  <c r="N65" i="23"/>
  <c r="Q47" i="23"/>
  <c r="Q49" i="23" s="1"/>
  <c r="R47" i="23"/>
  <c r="R49" i="23" s="1"/>
  <c r="I65" i="23"/>
  <c r="I80" i="23"/>
  <c r="I81" i="23" s="1"/>
  <c r="E52" i="23"/>
  <c r="E61" i="23" s="1"/>
  <c r="E63" i="23" s="1"/>
  <c r="E64" i="23" s="1"/>
  <c r="E48" i="23"/>
  <c r="G65" i="23"/>
  <c r="G80" i="23"/>
  <c r="G81" i="23" s="1"/>
  <c r="H65" i="23"/>
  <c r="H80" i="23"/>
  <c r="H81" i="23" s="1"/>
  <c r="F52" i="23"/>
  <c r="F61" i="23" s="1"/>
  <c r="F63" i="23" s="1"/>
  <c r="F64" i="23" s="1"/>
  <c r="F48" i="23"/>
  <c r="G83" i="23" l="1"/>
  <c r="O83" i="23"/>
  <c r="F35" i="23"/>
  <c r="F34" i="23"/>
  <c r="H83" i="23"/>
  <c r="E35" i="23"/>
  <c r="E34" i="23"/>
  <c r="N83" i="23"/>
  <c r="R48" i="23"/>
  <c r="R52" i="23"/>
  <c r="R61" i="23" s="1"/>
  <c r="R63" i="23" s="1"/>
  <c r="R64" i="23" s="1"/>
  <c r="T52" i="23"/>
  <c r="T61" i="23" s="1"/>
  <c r="T63" i="23" s="1"/>
  <c r="T64" i="23" s="1"/>
  <c r="T48" i="23"/>
  <c r="Q48" i="23"/>
  <c r="Q52" i="23"/>
  <c r="Q61" i="23" s="1"/>
  <c r="Q63" i="23" s="1"/>
  <c r="Q64" i="23" s="1"/>
  <c r="U52" i="23"/>
  <c r="U61" i="23" s="1"/>
  <c r="U63" i="23" s="1"/>
  <c r="U64" i="23" s="1"/>
  <c r="U48" i="23"/>
  <c r="S48" i="23"/>
  <c r="S52" i="23"/>
  <c r="S61" i="23" s="1"/>
  <c r="S63" i="23" s="1"/>
  <c r="S64" i="23" s="1"/>
  <c r="E65" i="23"/>
  <c r="E80" i="23"/>
  <c r="E81" i="23" s="1"/>
  <c r="F80" i="23"/>
  <c r="F81" i="23" s="1"/>
  <c r="F65" i="23"/>
  <c r="F83" i="23" l="1"/>
  <c r="E83" i="23"/>
  <c r="S35" i="23"/>
  <c r="S34" i="23"/>
  <c r="U35" i="23"/>
  <c r="U34" i="23"/>
  <c r="Q35" i="23"/>
  <c r="Q34" i="23"/>
  <c r="T35" i="23"/>
  <c r="T34" i="23"/>
  <c r="R35" i="23"/>
  <c r="R34" i="23"/>
  <c r="R80" i="23"/>
  <c r="R81" i="23" s="1"/>
  <c r="R65" i="23"/>
  <c r="S80" i="23"/>
  <c r="S81" i="23" s="1"/>
  <c r="S65" i="23"/>
  <c r="U80" i="23"/>
  <c r="U81" i="23" s="1"/>
  <c r="U65" i="23"/>
  <c r="Q80" i="23"/>
  <c r="Q81" i="23" s="1"/>
  <c r="Q65" i="23"/>
  <c r="T65" i="23"/>
  <c r="T80" i="23"/>
  <c r="T81" i="23" s="1"/>
  <c r="R83" i="23" l="1"/>
  <c r="Q83" i="23"/>
  <c r="T83" i="23"/>
  <c r="U83" i="23"/>
  <c r="S83" i="23"/>
</calcChain>
</file>

<file path=xl/sharedStrings.xml><?xml version="1.0" encoding="utf-8"?>
<sst xmlns="http://schemas.openxmlformats.org/spreadsheetml/2006/main" count="172" uniqueCount="123">
  <si>
    <t>Jahre</t>
  </si>
  <si>
    <t>Kapitalzinssatz</t>
  </si>
  <si>
    <t>kWh/a</t>
  </si>
  <si>
    <t>Jahreskosten</t>
  </si>
  <si>
    <t>%</t>
  </si>
  <si>
    <t>1/a</t>
  </si>
  <si>
    <t>Total</t>
  </si>
  <si>
    <t>Rp./kWh</t>
  </si>
  <si>
    <t>Annuitätsfaktor</t>
  </si>
  <si>
    <t>Stromkosten</t>
  </si>
  <si>
    <t>%/a</t>
  </si>
  <si>
    <t>Kostenrechnung</t>
  </si>
  <si>
    <t>mm</t>
  </si>
  <si>
    <t>Trassenlänge</t>
  </si>
  <si>
    <t xml:space="preserve">Nenndurchmesser DN </t>
  </si>
  <si>
    <t>Kalkulationsdauer</t>
  </si>
  <si>
    <t>Kapitalkosten K = I  a</t>
  </si>
  <si>
    <t>Wärmeleistung (in)</t>
  </si>
  <si>
    <t>kW</t>
  </si>
  <si>
    <t>Temperaturdifferenz</t>
  </si>
  <si>
    <t>K</t>
  </si>
  <si>
    <t>m/s</t>
  </si>
  <si>
    <t>Strompreis</t>
  </si>
  <si>
    <t>h/a</t>
  </si>
  <si>
    <t>Kapitalkosten Rohre</t>
  </si>
  <si>
    <t>Stromkosten Pumpe</t>
  </si>
  <si>
    <t>Unterhaltskosten</t>
  </si>
  <si>
    <t>Strömungsgeschwindigkeit effektiv</t>
  </si>
  <si>
    <t>Durchmesser iO</t>
  </si>
  <si>
    <t>0/1</t>
  </si>
  <si>
    <t>Reynolds-Zahl</t>
  </si>
  <si>
    <t>Rp/kWh</t>
  </si>
  <si>
    <t>Wandrauhigkeit k</t>
  </si>
  <si>
    <t>laminar</t>
  </si>
  <si>
    <t>hydraulisch glatt</t>
  </si>
  <si>
    <t>-</t>
  </si>
  <si>
    <t>Übergangsbereich</t>
  </si>
  <si>
    <t>hydraulisch rau</t>
  </si>
  <si>
    <t>Rohrreibbewert laminar</t>
  </si>
  <si>
    <t>Rohorreibbeiwert hyd. Gl.</t>
  </si>
  <si>
    <t>Rohrreibbeiwert Übergang.</t>
  </si>
  <si>
    <t>Rohrreibbeiwert hyd. Rau.</t>
  </si>
  <si>
    <t xml:space="preserve">Rohrreibbeiwert </t>
  </si>
  <si>
    <t>Pa/m</t>
  </si>
  <si>
    <t>L/d</t>
  </si>
  <si>
    <t>ζ-Wert Einbauten</t>
  </si>
  <si>
    <t>[-]</t>
  </si>
  <si>
    <t>Druckverlust Rohr</t>
  </si>
  <si>
    <t>Druckverlust Einbauten</t>
  </si>
  <si>
    <t>Druckverlust total</t>
  </si>
  <si>
    <t>Innendurchmesser</t>
  </si>
  <si>
    <t>Volumenstrom</t>
  </si>
  <si>
    <t>m</t>
  </si>
  <si>
    <t>d/k</t>
  </si>
  <si>
    <t>Temperatur Vorlauf</t>
  </si>
  <si>
    <t>Temperatur Rücklauf</t>
  </si>
  <si>
    <t>°C</t>
  </si>
  <si>
    <t>Wärmeverlust Kosten</t>
  </si>
  <si>
    <t>η-el Pumpe</t>
  </si>
  <si>
    <t>η-hyd Pumpe</t>
  </si>
  <si>
    <t>erforderliche Leistung</t>
  </si>
  <si>
    <t>Arbeit pro Jahr</t>
  </si>
  <si>
    <t>Gesamtwirkungsgrad Pumpe</t>
  </si>
  <si>
    <t>Bodentemperatur</t>
  </si>
  <si>
    <t>λ-Dämmung</t>
  </si>
  <si>
    <t>W/(m K)</t>
  </si>
  <si>
    <t>Überdeckung</t>
  </si>
  <si>
    <t>Brennstoffpreis</t>
  </si>
  <si>
    <t>Vollbetriebsstunden  Abnehmer</t>
  </si>
  <si>
    <t>jährliche Wärmeleistung</t>
  </si>
  <si>
    <t>MWh/a</t>
  </si>
  <si>
    <t>η Wärmeerzeuger</t>
  </si>
  <si>
    <t>λ-Boden</t>
  </si>
  <si>
    <t>Wärmeverlustleistung vereinfacht</t>
  </si>
  <si>
    <t>Wärmeverlustleistung inkl. Boden</t>
  </si>
  <si>
    <t>Wärmeverlust pro Jahr</t>
  </si>
  <si>
    <t>Wärmeverlustkosten</t>
  </si>
  <si>
    <t>Kapitalkosten</t>
  </si>
  <si>
    <t>bar</t>
  </si>
  <si>
    <t>Druckverlust Hausstation</t>
  </si>
  <si>
    <t>min. Fliessgeschw.</t>
  </si>
  <si>
    <t>Gesamtkosten</t>
  </si>
  <si>
    <t>Unterhalt</t>
  </si>
  <si>
    <t>MPa</t>
  </si>
  <si>
    <t>max. zulässige Leistung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</si>
  <si>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/s</t>
    </r>
  </si>
  <si>
    <t xml:space="preserve">Weitere Info: </t>
  </si>
  <si>
    <t>Nussbaumer, T.; Thalmann, S.: Influence of system design on heat distribution costs in district heating, Energy 101(2016) 496–505.</t>
  </si>
  <si>
    <t xml:space="preserve">Copyright: </t>
  </si>
  <si>
    <t xml:space="preserve">Disclaimer: </t>
  </si>
  <si>
    <t>Info zu Grundlagen:</t>
  </si>
  <si>
    <t>m (Tm)</t>
  </si>
  <si>
    <t>Weisse Felder: Berechneter Wert</t>
  </si>
  <si>
    <t>Nussbaumer, T.; Thalmann, S.: Einfluss von Auslegung und Betrieb auf die Wirtschaftlichkeit von Fernwärmenetzen, 13. Holzenergie-Symposium, ETH Zürich 12.9.2014, Verenum Zürich 2014, ISBN 3-908705-25-8</t>
  </si>
  <si>
    <t>*</t>
  </si>
  <si>
    <t>**</t>
  </si>
  <si>
    <t>***</t>
  </si>
  <si>
    <t>Manteldurchmesser (Dämmstärke 2)*</t>
  </si>
  <si>
    <t>Max. Strömungsgeschwindigkeit**</t>
  </si>
  <si>
    <t>Aussendurchmesser Mediumrohr D*</t>
  </si>
  <si>
    <t>Spezifischer Druckverlust Rohr</t>
  </si>
  <si>
    <t>Δp Hausstation</t>
  </si>
  <si>
    <t>Wandstärke*</t>
  </si>
  <si>
    <t>Berechnungstool Thermische Netze – Einfluss des Rohrdurchmessers auf die Wirtschaftlichkeit</t>
  </si>
  <si>
    <t xml:space="preserve">Planungshandbuch Thermische Netze, 2025, Aktualisierung Richtpreise Leitungsbau </t>
  </si>
  <si>
    <t>Das vorliegende Berechnungstool dient für Schulungszwecke. Für die Korrektheit und Anwendung in der Planung oder Auslegung wird jegliche Haftung ausgeschlossen.</t>
  </si>
  <si>
    <t>Gelbe Felder: Zahlen einfügen</t>
  </si>
  <si>
    <t>CHF/m</t>
  </si>
  <si>
    <t>CHF</t>
  </si>
  <si>
    <t>CHF/a</t>
  </si>
  <si>
    <t>Leitungsbau***</t>
  </si>
  <si>
    <t>Anschlussdichte</t>
  </si>
  <si>
    <t>MWh/(a m)</t>
  </si>
  <si>
    <t>Bereich optimaler Nenndurchmesser</t>
  </si>
  <si>
    <t>Hinweise zur Grafik in der Mappe Diagramm:</t>
  </si>
  <si>
    <t>Die X- und Y-Achsen werden nicht automatisch skaliert, sondern müssen manuel angepasst werden</t>
  </si>
  <si>
    <t>Bereich X-Achse: DN 20 bis DN 500</t>
  </si>
  <si>
    <t>https://qmthermischenetze.ch/</t>
  </si>
  <si>
    <t>Verenum AG, Langmauerstrasse 109, CH-8006 Zürich. Version 2.0 vom 7. Januar 2026</t>
  </si>
  <si>
    <t>Richtpreise (Mittelwerte KMR) gemäss Planungshandbuch Thermische Netze 2025; Werte können angepasst werden</t>
  </si>
  <si>
    <t>gemäss Österreichisches Kuratorium für Landtechnik und Landentwicklung (ÖKL), Merkblatt-Nr. 67 – Planung von Biomasseheizwerken und Nahwärmenetzen, Wien, 3. Auflage 2016</t>
  </si>
  <si>
    <t>KMR-Rohre gemäss Planungshandbuch Thermische Netze 2025; Werte können angepasst werden</t>
  </si>
  <si>
    <t>Bereich Y-Achse: 0 bis 30 Rp.kWh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</si>
</sst>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0"/>
    <numFmt numFmtId="166" formatCode="0.0000"/>
    <numFmt numFmtId="167" formatCode="0.0E+00"/>
    <numFmt numFmtId="168" formatCode="#,##0.0"/>
    <numFmt numFmtId="169" formatCode="0.000"/>
  </numFmts>
  <fonts count="40" x14ac:knownFonts="1">
    <font>
      <sz val="10"/>
      <name val="Arial"/>
    </font>
    <font>
      <sz val="11"/>
      <color theme="1"/>
      <name val="Arial"/>
      <family val="2"/>
    </font>
    <font>
      <sz val="12"/>
      <color theme="1"/>
      <name val="Helvetic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color indexed="17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sz val="10"/>
      <name val="Arial"/>
      <family val="2"/>
    </font>
    <font>
      <i/>
      <sz val="12"/>
      <color indexed="23"/>
      <name val="Calibri"/>
      <family val="2"/>
    </font>
    <font>
      <b/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.5"/>
      <color theme="1"/>
      <name val="Times New Roman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sz val="16"/>
      <color rgb="FF0000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0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1" fillId="11" borderId="10" applyNumberFormat="0" applyAlignment="0" applyProtection="0"/>
    <xf numFmtId="0" fontId="12" fillId="11" borderId="11" applyNumberFormat="0" applyAlignment="0" applyProtection="0"/>
    <xf numFmtId="0" fontId="10" fillId="3" borderId="11" applyNumberFormat="0" applyAlignment="0" applyProtection="0"/>
    <xf numFmtId="0" fontId="18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16" fillId="17" borderId="13" applyNumberFormat="0" applyFont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6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4" fillId="20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/>
    <xf numFmtId="0" fontId="28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02">
    <xf numFmtId="0" fontId="0" fillId="0" borderId="0" xfId="0"/>
    <xf numFmtId="0" fontId="35" fillId="22" borderId="0" xfId="44" applyFont="1" applyFill="1" applyAlignment="1">
      <alignment vertical="center"/>
    </xf>
    <xf numFmtId="0" fontId="21" fillId="22" borderId="0" xfId="503" applyFill="1" applyProtection="1"/>
    <xf numFmtId="0" fontId="36" fillId="0" borderId="0" xfId="0" applyFont="1"/>
    <xf numFmtId="0" fontId="30" fillId="22" borderId="0" xfId="44" applyFont="1" applyFill="1" applyAlignment="1">
      <alignment horizontal="left"/>
    </xf>
    <xf numFmtId="164" fontId="25" fillId="22" borderId="0" xfId="44" applyNumberFormat="1" applyFont="1" applyFill="1" applyAlignment="1">
      <alignment horizontal="center"/>
    </xf>
    <xf numFmtId="0" fontId="33" fillId="22" borderId="0" xfId="44" applyFont="1" applyFill="1"/>
    <xf numFmtId="0" fontId="1" fillId="22" borderId="0" xfId="44" applyFont="1" applyFill="1"/>
    <xf numFmtId="0" fontId="1" fillId="22" borderId="0" xfId="44" applyFont="1" applyFill="1" applyAlignment="1">
      <alignment horizontal="right"/>
    </xf>
    <xf numFmtId="0" fontId="38" fillId="22" borderId="0" xfId="0" applyFont="1" applyFill="1"/>
    <xf numFmtId="0" fontId="1" fillId="0" borderId="0" xfId="44" applyFont="1"/>
    <xf numFmtId="0" fontId="39" fillId="22" borderId="0" xfId="0" applyFont="1" applyFill="1" applyAlignment="1">
      <alignment horizontal="center"/>
    </xf>
    <xf numFmtId="0" fontId="1" fillId="22" borderId="0" xfId="44" applyFont="1" applyFill="1" applyAlignment="1">
      <alignment horizontal="center"/>
    </xf>
    <xf numFmtId="0" fontId="1" fillId="22" borderId="0" xfId="44" applyFont="1" applyFill="1" applyAlignment="1">
      <alignment vertical="center"/>
    </xf>
    <xf numFmtId="0" fontId="32" fillId="22" borderId="8" xfId="44" applyFont="1" applyFill="1" applyBorder="1" applyAlignment="1">
      <alignment vertical="center"/>
    </xf>
    <xf numFmtId="0" fontId="29" fillId="25" borderId="9" xfId="44" applyFont="1" applyFill="1" applyBorder="1" applyAlignment="1" applyProtection="1">
      <alignment horizontal="center" vertical="center"/>
      <protection locked="0"/>
    </xf>
    <xf numFmtId="0" fontId="1" fillId="22" borderId="19" xfId="44" applyFont="1" applyFill="1" applyBorder="1" applyAlignment="1">
      <alignment horizontal="center" vertical="center"/>
    </xf>
    <xf numFmtId="0" fontId="30" fillId="22" borderId="23" xfId="44" applyFont="1" applyFill="1" applyBorder="1" applyAlignment="1">
      <alignment horizontal="left" vertical="center"/>
    </xf>
    <xf numFmtId="0" fontId="25" fillId="25" borderId="9" xfId="0" applyFont="1" applyFill="1" applyBorder="1" applyAlignment="1" applyProtection="1">
      <alignment horizontal="center" vertical="center"/>
      <protection locked="0"/>
    </xf>
    <xf numFmtId="0" fontId="1" fillId="0" borderId="23" xfId="44" applyFont="1" applyBorder="1" applyAlignment="1">
      <alignment horizontal="center" vertical="center"/>
    </xf>
    <xf numFmtId="0" fontId="30" fillId="22" borderId="24" xfId="44" applyFont="1" applyFill="1" applyBorder="1" applyAlignment="1">
      <alignment horizontal="left" vertical="center"/>
    </xf>
    <xf numFmtId="0" fontId="1" fillId="22" borderId="25" xfId="44" applyFont="1" applyFill="1" applyBorder="1" applyAlignment="1">
      <alignment vertical="center"/>
    </xf>
    <xf numFmtId="0" fontId="25" fillId="25" borderId="23" xfId="44" applyFont="1" applyFill="1" applyBorder="1" applyAlignment="1" applyProtection="1">
      <alignment horizontal="center" vertical="center"/>
      <protection locked="0"/>
    </xf>
    <xf numFmtId="0" fontId="1" fillId="22" borderId="26" xfId="44" applyFont="1" applyFill="1" applyBorder="1" applyAlignment="1">
      <alignment horizontal="center" vertical="center"/>
    </xf>
    <xf numFmtId="0" fontId="1" fillId="0" borderId="0" xfId="44" applyFont="1" applyAlignment="1">
      <alignment vertical="center"/>
    </xf>
    <xf numFmtId="0" fontId="30" fillId="22" borderId="8" xfId="44" applyFont="1" applyFill="1" applyBorder="1" applyAlignment="1">
      <alignment vertical="center"/>
    </xf>
    <xf numFmtId="0" fontId="31" fillId="0" borderId="9" xfId="44" applyFont="1" applyBorder="1" applyAlignment="1">
      <alignment horizontal="center" vertical="center"/>
    </xf>
    <xf numFmtId="0" fontId="1" fillId="22" borderId="23" xfId="44" applyFont="1" applyFill="1" applyBorder="1" applyAlignment="1">
      <alignment vertical="center"/>
    </xf>
    <xf numFmtId="0" fontId="1" fillId="22" borderId="23" xfId="44" applyFont="1" applyFill="1" applyBorder="1" applyAlignment="1">
      <alignment horizontal="center" vertical="center"/>
    </xf>
    <xf numFmtId="0" fontId="30" fillId="22" borderId="6" xfId="44" applyFont="1" applyFill="1" applyBorder="1" applyAlignment="1">
      <alignment horizontal="left" vertical="center"/>
    </xf>
    <xf numFmtId="0" fontId="1" fillId="22" borderId="5" xfId="44" applyFont="1" applyFill="1" applyBorder="1" applyAlignment="1">
      <alignment horizontal="center" vertical="center"/>
    </xf>
    <xf numFmtId="0" fontId="32" fillId="22" borderId="27" xfId="44" applyFont="1" applyFill="1" applyBorder="1" applyAlignment="1">
      <alignment vertical="center"/>
    </xf>
    <xf numFmtId="0" fontId="29" fillId="25" borderId="30" xfId="44" applyFont="1" applyFill="1" applyBorder="1" applyAlignment="1" applyProtection="1">
      <alignment horizontal="center" vertical="center"/>
      <protection locked="0"/>
    </xf>
    <xf numFmtId="0" fontId="1" fillId="22" borderId="29" xfId="44" applyFont="1" applyFill="1" applyBorder="1" applyAlignment="1">
      <alignment horizontal="center" vertical="center"/>
    </xf>
    <xf numFmtId="0" fontId="30" fillId="22" borderId="40" xfId="44" applyFont="1" applyFill="1" applyBorder="1" applyAlignment="1">
      <alignment horizontal="left" vertical="center"/>
    </xf>
    <xf numFmtId="0" fontId="1" fillId="22" borderId="41" xfId="44" applyFont="1" applyFill="1" applyBorder="1" applyAlignment="1">
      <alignment vertical="center"/>
    </xf>
    <xf numFmtId="0" fontId="25" fillId="25" borderId="39" xfId="44" applyFont="1" applyFill="1" applyBorder="1" applyAlignment="1" applyProtection="1">
      <alignment horizontal="center" vertical="center"/>
      <protection locked="0"/>
    </xf>
    <xf numFmtId="0" fontId="32" fillId="22" borderId="3" xfId="44" applyFont="1" applyFill="1" applyBorder="1" applyAlignment="1">
      <alignment vertical="center"/>
    </xf>
    <xf numFmtId="0" fontId="29" fillId="25" borderId="21" xfId="44" applyFont="1" applyFill="1" applyBorder="1" applyAlignment="1" applyProtection="1">
      <alignment horizontal="center" vertical="center"/>
      <protection locked="0"/>
    </xf>
    <xf numFmtId="0" fontId="30" fillId="22" borderId="3" xfId="44" applyFont="1" applyFill="1" applyBorder="1" applyAlignment="1">
      <alignment horizontal="left" vertical="center"/>
    </xf>
    <xf numFmtId="0" fontId="1" fillId="22" borderId="5" xfId="44" applyFont="1" applyFill="1" applyBorder="1" applyAlignment="1">
      <alignment vertical="center"/>
    </xf>
    <xf numFmtId="0" fontId="23" fillId="22" borderId="39" xfId="44" applyFont="1" applyFill="1" applyBorder="1" applyAlignment="1">
      <alignment horizontal="center" vertical="center"/>
    </xf>
    <xf numFmtId="0" fontId="24" fillId="22" borderId="28" xfId="44" applyFont="1" applyFill="1" applyBorder="1" applyAlignment="1">
      <alignment vertical="center"/>
    </xf>
    <xf numFmtId="164" fontId="25" fillId="25" borderId="30" xfId="44" applyNumberFormat="1" applyFont="1" applyFill="1" applyBorder="1" applyAlignment="1" applyProtection="1">
      <alignment horizontal="center" vertical="center"/>
      <protection locked="0"/>
    </xf>
    <xf numFmtId="0" fontId="32" fillId="22" borderId="36" xfId="44" applyFont="1" applyFill="1" applyBorder="1" applyAlignment="1">
      <alignment vertical="center"/>
    </xf>
    <xf numFmtId="0" fontId="29" fillId="25" borderId="36" xfId="44" applyFont="1" applyFill="1" applyBorder="1" applyAlignment="1" applyProtection="1">
      <alignment horizontal="center" vertical="center"/>
      <protection locked="0"/>
    </xf>
    <xf numFmtId="0" fontId="1" fillId="22" borderId="36" xfId="44" applyFont="1" applyFill="1" applyBorder="1" applyAlignment="1">
      <alignment horizontal="center" vertical="center"/>
    </xf>
    <xf numFmtId="0" fontId="24" fillId="22" borderId="4" xfId="44" applyFont="1" applyFill="1" applyBorder="1" applyAlignment="1">
      <alignment vertical="center"/>
    </xf>
    <xf numFmtId="0" fontId="25" fillId="25" borderId="22" xfId="44" applyFont="1" applyFill="1" applyBorder="1" applyAlignment="1" applyProtection="1">
      <alignment horizontal="center" vertical="center"/>
      <protection locked="0"/>
    </xf>
    <xf numFmtId="0" fontId="1" fillId="22" borderId="30" xfId="44" applyFont="1" applyFill="1" applyBorder="1" applyAlignment="1">
      <alignment horizontal="center" vertical="center"/>
    </xf>
    <xf numFmtId="0" fontId="1" fillId="22" borderId="4" xfId="44" applyFont="1" applyFill="1" applyBorder="1" applyAlignment="1">
      <alignment vertical="center"/>
    </xf>
    <xf numFmtId="165" fontId="23" fillId="22" borderId="23" xfId="44" applyNumberFormat="1" applyFont="1" applyFill="1" applyBorder="1" applyAlignment="1">
      <alignment horizontal="center" vertical="center"/>
    </xf>
    <xf numFmtId="0" fontId="1" fillId="22" borderId="21" xfId="44" applyFont="1" applyFill="1" applyBorder="1" applyAlignment="1">
      <alignment horizontal="center" vertical="center"/>
    </xf>
    <xf numFmtId="0" fontId="38" fillId="22" borderId="0" xfId="0" applyFont="1" applyFill="1" applyAlignment="1">
      <alignment vertical="center"/>
    </xf>
    <xf numFmtId="0" fontId="32" fillId="23" borderId="44" xfId="44" applyFont="1" applyFill="1" applyBorder="1" applyAlignment="1">
      <alignment vertical="center"/>
    </xf>
    <xf numFmtId="0" fontId="24" fillId="23" borderId="45" xfId="44" applyFont="1" applyFill="1" applyBorder="1" applyAlignment="1">
      <alignment horizontal="center" vertical="center"/>
    </xf>
    <xf numFmtId="0" fontId="24" fillId="23" borderId="43" xfId="44" applyFont="1" applyFill="1" applyBorder="1" applyAlignment="1">
      <alignment horizontal="center" vertical="center"/>
    </xf>
    <xf numFmtId="0" fontId="32" fillId="23" borderId="46" xfId="44" applyFont="1" applyFill="1" applyBorder="1" applyAlignment="1">
      <alignment horizontal="center" vertical="center"/>
    </xf>
    <xf numFmtId="0" fontId="32" fillId="23" borderId="45" xfId="44" applyFont="1" applyFill="1" applyBorder="1" applyAlignment="1">
      <alignment horizontal="center" vertical="center"/>
    </xf>
    <xf numFmtId="0" fontId="30" fillId="22" borderId="40" xfId="44" applyFont="1" applyFill="1" applyBorder="1" applyAlignment="1">
      <alignment vertical="center"/>
    </xf>
    <xf numFmtId="0" fontId="1" fillId="22" borderId="41" xfId="44" applyFont="1" applyFill="1" applyBorder="1" applyAlignment="1">
      <alignment horizontal="center" vertical="center"/>
    </xf>
    <xf numFmtId="0" fontId="30" fillId="22" borderId="6" xfId="44" applyFont="1" applyFill="1" applyBorder="1" applyAlignment="1">
      <alignment vertical="center"/>
    </xf>
    <xf numFmtId="0" fontId="1" fillId="22" borderId="7" xfId="44" applyFont="1" applyFill="1" applyBorder="1" applyAlignment="1">
      <alignment horizontal="center" vertical="center"/>
    </xf>
    <xf numFmtId="0" fontId="1" fillId="22" borderId="22" xfId="44" applyFont="1" applyFill="1" applyBorder="1" applyAlignment="1">
      <alignment horizontal="center" vertical="center"/>
    </xf>
    <xf numFmtId="0" fontId="1" fillId="22" borderId="7" xfId="44" applyFont="1" applyFill="1" applyBorder="1" applyAlignment="1">
      <alignment vertical="center"/>
    </xf>
    <xf numFmtId="0" fontId="30" fillId="22" borderId="6" xfId="44" applyFont="1" applyFill="1" applyBorder="1" applyAlignment="1" applyProtection="1">
      <alignment vertical="center"/>
      <protection locked="0"/>
    </xf>
    <xf numFmtId="0" fontId="25" fillId="25" borderId="0" xfId="44" applyFont="1" applyFill="1" applyAlignment="1" applyProtection="1">
      <alignment vertical="center"/>
      <protection locked="0"/>
    </xf>
    <xf numFmtId="1" fontId="25" fillId="25" borderId="0" xfId="44" applyNumberFormat="1" applyFont="1" applyFill="1" applyAlignment="1" applyProtection="1">
      <alignment vertical="center"/>
      <protection locked="0"/>
    </xf>
    <xf numFmtId="1" fontId="25" fillId="25" borderId="7" xfId="44" applyNumberFormat="1" applyFont="1" applyFill="1" applyBorder="1" applyAlignment="1" applyProtection="1">
      <alignment vertical="center"/>
      <protection locked="0"/>
    </xf>
    <xf numFmtId="164" fontId="25" fillId="25" borderId="0" xfId="44" applyNumberFormat="1" applyFont="1" applyFill="1" applyAlignment="1" applyProtection="1">
      <alignment vertical="center"/>
      <protection locked="0"/>
    </xf>
    <xf numFmtId="0" fontId="30" fillId="22" borderId="44" xfId="44" applyFont="1" applyFill="1" applyBorder="1" applyAlignment="1">
      <alignment vertical="center"/>
    </xf>
    <xf numFmtId="0" fontId="1" fillId="22" borderId="38" xfId="44" applyFont="1" applyFill="1" applyBorder="1" applyAlignment="1">
      <alignment vertical="center"/>
    </xf>
    <xf numFmtId="0" fontId="1" fillId="22" borderId="43" xfId="44" applyFont="1" applyFill="1" applyBorder="1" applyAlignment="1">
      <alignment horizontal="center" vertical="center"/>
    </xf>
    <xf numFmtId="164" fontId="23" fillId="22" borderId="38" xfId="44" applyNumberFormat="1" applyFont="1" applyFill="1" applyBorder="1" applyAlignment="1">
      <alignment vertical="center"/>
    </xf>
    <xf numFmtId="0" fontId="23" fillId="22" borderId="0" xfId="44" applyFont="1" applyFill="1" applyAlignment="1">
      <alignment vertical="center"/>
    </xf>
    <xf numFmtId="0" fontId="23" fillId="22" borderId="7" xfId="44" applyFont="1" applyFill="1" applyBorder="1" applyAlignment="1">
      <alignment vertical="center"/>
    </xf>
    <xf numFmtId="167" fontId="23" fillId="22" borderId="0" xfId="44" applyNumberFormat="1" applyFont="1" applyFill="1" applyAlignment="1">
      <alignment vertical="center"/>
    </xf>
    <xf numFmtId="167" fontId="23" fillId="22" borderId="5" xfId="44" applyNumberFormat="1" applyFont="1" applyFill="1" applyBorder="1" applyAlignment="1">
      <alignment vertical="center"/>
    </xf>
    <xf numFmtId="2" fontId="23" fillId="22" borderId="42" xfId="44" applyNumberFormat="1" applyFont="1" applyFill="1" applyBorder="1" applyAlignment="1">
      <alignment vertical="center"/>
    </xf>
    <xf numFmtId="2" fontId="23" fillId="22" borderId="41" xfId="44" applyNumberFormat="1" applyFont="1" applyFill="1" applyBorder="1" applyAlignment="1">
      <alignment vertical="center"/>
    </xf>
    <xf numFmtId="0" fontId="30" fillId="22" borderId="3" xfId="44" applyFont="1" applyFill="1" applyBorder="1" applyAlignment="1">
      <alignment vertical="center"/>
    </xf>
    <xf numFmtId="0" fontId="23" fillId="22" borderId="4" xfId="44" applyFont="1" applyFill="1" applyBorder="1" applyAlignment="1">
      <alignment vertical="center"/>
    </xf>
    <xf numFmtId="0" fontId="23" fillId="22" borderId="5" xfId="44" applyFont="1" applyFill="1" applyBorder="1" applyAlignment="1">
      <alignment vertical="center"/>
    </xf>
    <xf numFmtId="1" fontId="23" fillId="22" borderId="0" xfId="44" applyNumberFormat="1" applyFont="1" applyFill="1" applyAlignment="1">
      <alignment vertical="center"/>
    </xf>
    <xf numFmtId="1" fontId="23" fillId="22" borderId="7" xfId="44" applyNumberFormat="1" applyFont="1" applyFill="1" applyBorder="1" applyAlignment="1">
      <alignment vertical="center"/>
    </xf>
    <xf numFmtId="166" fontId="23" fillId="22" borderId="0" xfId="44" applyNumberFormat="1" applyFont="1" applyFill="1" applyAlignment="1">
      <alignment vertical="center"/>
    </xf>
    <xf numFmtId="166" fontId="23" fillId="22" borderId="7" xfId="44" applyNumberFormat="1" applyFont="1" applyFill="1" applyBorder="1" applyAlignment="1">
      <alignment vertical="center"/>
    </xf>
    <xf numFmtId="11" fontId="23" fillId="22" borderId="0" xfId="44" applyNumberFormat="1" applyFont="1" applyFill="1" applyAlignment="1">
      <alignment vertical="center"/>
    </xf>
    <xf numFmtId="11" fontId="23" fillId="22" borderId="7" xfId="44" applyNumberFormat="1" applyFont="1" applyFill="1" applyBorder="1" applyAlignment="1">
      <alignment vertical="center"/>
    </xf>
    <xf numFmtId="0" fontId="24" fillId="22" borderId="5" xfId="44" applyFont="1" applyFill="1" applyBorder="1" applyAlignment="1">
      <alignment vertical="center"/>
    </xf>
    <xf numFmtId="0" fontId="24" fillId="22" borderId="21" xfId="44" applyFont="1" applyFill="1" applyBorder="1" applyAlignment="1">
      <alignment horizontal="center" vertical="center"/>
    </xf>
    <xf numFmtId="2" fontId="31" fillId="22" borderId="4" xfId="44" applyNumberFormat="1" applyFont="1" applyFill="1" applyBorder="1" applyAlignment="1">
      <alignment vertical="center"/>
    </xf>
    <xf numFmtId="2" fontId="31" fillId="22" borderId="5" xfId="44" applyNumberFormat="1" applyFont="1" applyFill="1" applyBorder="1" applyAlignment="1">
      <alignment vertical="center"/>
    </xf>
    <xf numFmtId="0" fontId="32" fillId="21" borderId="24" xfId="44" applyFont="1" applyFill="1" applyBorder="1" applyAlignment="1">
      <alignment vertical="center"/>
    </xf>
    <xf numFmtId="0" fontId="1" fillId="21" borderId="25" xfId="44" applyFont="1" applyFill="1" applyBorder="1" applyAlignment="1">
      <alignment vertical="center"/>
    </xf>
    <xf numFmtId="0" fontId="1" fillId="22" borderId="2" xfId="44" applyFont="1" applyFill="1" applyBorder="1" applyAlignment="1">
      <alignment vertical="center"/>
    </xf>
    <xf numFmtId="0" fontId="1" fillId="22" borderId="20" xfId="44" applyFont="1" applyFill="1" applyBorder="1" applyAlignment="1">
      <alignment horizontal="center" vertical="center"/>
    </xf>
    <xf numFmtId="0" fontId="25" fillId="25" borderId="4" xfId="44" applyFont="1" applyFill="1" applyBorder="1" applyAlignment="1" applyProtection="1">
      <alignment vertical="center"/>
      <protection locked="0"/>
    </xf>
    <xf numFmtId="0" fontId="1" fillId="22" borderId="6" xfId="44" applyFont="1" applyFill="1" applyBorder="1" applyAlignment="1">
      <alignment horizontal="center" vertical="center"/>
    </xf>
    <xf numFmtId="3" fontId="23" fillId="22" borderId="3" xfId="44" applyNumberFormat="1" applyFont="1" applyFill="1" applyBorder="1" applyAlignment="1">
      <alignment vertical="center"/>
    </xf>
    <xf numFmtId="3" fontId="23" fillId="22" borderId="4" xfId="44" applyNumberFormat="1" applyFont="1" applyFill="1" applyBorder="1" applyAlignment="1">
      <alignment vertical="center"/>
    </xf>
    <xf numFmtId="3" fontId="23" fillId="22" borderId="5" xfId="44" applyNumberFormat="1" applyFont="1" applyFill="1" applyBorder="1" applyAlignment="1">
      <alignment vertical="center"/>
    </xf>
    <xf numFmtId="0" fontId="24" fillId="22" borderId="30" xfId="44" applyFont="1" applyFill="1" applyBorder="1" applyAlignment="1">
      <alignment horizontal="center" vertical="center"/>
    </xf>
    <xf numFmtId="3" fontId="31" fillId="22" borderId="27" xfId="44" applyNumberFormat="1" applyFont="1" applyFill="1" applyBorder="1" applyAlignment="1">
      <alignment vertical="center"/>
    </xf>
    <xf numFmtId="3" fontId="31" fillId="22" borderId="28" xfId="44" applyNumberFormat="1" applyFont="1" applyFill="1" applyBorder="1" applyAlignment="1">
      <alignment vertical="center"/>
    </xf>
    <xf numFmtId="3" fontId="31" fillId="22" borderId="0" xfId="44" applyNumberFormat="1" applyFont="1" applyFill="1" applyAlignment="1">
      <alignment vertical="center"/>
    </xf>
    <xf numFmtId="4" fontId="31" fillId="22" borderId="4" xfId="44" applyNumberFormat="1" applyFont="1" applyFill="1" applyBorder="1" applyAlignment="1">
      <alignment vertical="center"/>
    </xf>
    <xf numFmtId="4" fontId="31" fillId="22" borderId="5" xfId="44" applyNumberFormat="1" applyFont="1" applyFill="1" applyBorder="1" applyAlignment="1">
      <alignment vertical="center"/>
    </xf>
    <xf numFmtId="0" fontId="32" fillId="21" borderId="27" xfId="44" applyFont="1" applyFill="1" applyBorder="1" applyAlignment="1">
      <alignment vertical="center"/>
    </xf>
    <xf numFmtId="0" fontId="1" fillId="21" borderId="28" xfId="44" applyFont="1" applyFill="1" applyBorder="1" applyAlignment="1">
      <alignment vertical="center"/>
    </xf>
    <xf numFmtId="0" fontId="1" fillId="21" borderId="25" xfId="44" applyFont="1" applyFill="1" applyBorder="1" applyAlignment="1">
      <alignment horizontal="center" vertical="center"/>
    </xf>
    <xf numFmtId="1" fontId="23" fillId="21" borderId="28" xfId="44" applyNumberFormat="1" applyFont="1" applyFill="1" applyBorder="1" applyAlignment="1">
      <alignment vertical="center"/>
    </xf>
    <xf numFmtId="0" fontId="30" fillId="22" borderId="27" xfId="44" applyFont="1" applyFill="1" applyBorder="1" applyAlignment="1">
      <alignment horizontal="left" vertical="center"/>
    </xf>
    <xf numFmtId="0" fontId="25" fillId="22" borderId="29" xfId="44" applyFont="1" applyFill="1" applyBorder="1" applyAlignment="1">
      <alignment horizontal="center" vertical="center"/>
    </xf>
    <xf numFmtId="0" fontId="1" fillId="22" borderId="0" xfId="44" applyFont="1" applyFill="1" applyAlignment="1">
      <alignment horizontal="center" vertical="center"/>
    </xf>
    <xf numFmtId="164" fontId="25" fillId="22" borderId="5" xfId="44" applyNumberFormat="1" applyFont="1" applyFill="1" applyBorder="1" applyAlignment="1">
      <alignment horizontal="center" vertical="center"/>
    </xf>
    <xf numFmtId="0" fontId="1" fillId="22" borderId="4" xfId="44" applyFont="1" applyFill="1" applyBorder="1" applyAlignment="1">
      <alignment horizontal="center" vertical="center"/>
    </xf>
    <xf numFmtId="1" fontId="23" fillId="22" borderId="3" xfId="44" applyNumberFormat="1" applyFont="1" applyFill="1" applyBorder="1" applyAlignment="1">
      <alignment vertical="center"/>
    </xf>
    <xf numFmtId="164" fontId="25" fillId="22" borderId="0" xfId="44" applyNumberFormat="1" applyFont="1" applyFill="1" applyAlignment="1">
      <alignment horizontal="center" vertical="center"/>
    </xf>
    <xf numFmtId="0" fontId="1" fillId="22" borderId="31" xfId="44" applyFont="1" applyFill="1" applyBorder="1" applyAlignment="1">
      <alignment horizontal="center" vertical="center"/>
    </xf>
    <xf numFmtId="1" fontId="23" fillId="21" borderId="25" xfId="44" applyNumberFormat="1" applyFont="1" applyFill="1" applyBorder="1" applyAlignment="1">
      <alignment vertical="center"/>
    </xf>
    <xf numFmtId="0" fontId="25" fillId="22" borderId="7" xfId="44" applyFont="1" applyFill="1" applyBorder="1" applyAlignment="1">
      <alignment horizontal="center" vertical="center"/>
    </xf>
    <xf numFmtId="0" fontId="24" fillId="22" borderId="29" xfId="44" applyFont="1" applyFill="1" applyBorder="1" applyAlignment="1">
      <alignment vertical="center"/>
    </xf>
    <xf numFmtId="0" fontId="24" fillId="22" borderId="29" xfId="44" applyFont="1" applyFill="1" applyBorder="1" applyAlignment="1">
      <alignment horizontal="center" vertical="center"/>
    </xf>
    <xf numFmtId="0" fontId="24" fillId="22" borderId="5" xfId="44" applyFont="1" applyFill="1" applyBorder="1" applyAlignment="1">
      <alignment horizontal="center" vertical="center"/>
    </xf>
    <xf numFmtId="0" fontId="32" fillId="21" borderId="37" xfId="44" applyFont="1" applyFill="1" applyBorder="1" applyAlignment="1">
      <alignment vertical="center"/>
    </xf>
    <xf numFmtId="0" fontId="1" fillId="21" borderId="38" xfId="44" applyFont="1" applyFill="1" applyBorder="1" applyAlignment="1">
      <alignment vertical="center"/>
    </xf>
    <xf numFmtId="0" fontId="1" fillId="21" borderId="38" xfId="44" applyFont="1" applyFill="1" applyBorder="1" applyAlignment="1">
      <alignment horizontal="center" vertical="center"/>
    </xf>
    <xf numFmtId="0" fontId="23" fillId="21" borderId="38" xfId="44" applyFont="1" applyFill="1" applyBorder="1" applyAlignment="1">
      <alignment vertical="center"/>
    </xf>
    <xf numFmtId="2" fontId="23" fillId="21" borderId="38" xfId="44" applyNumberFormat="1" applyFont="1" applyFill="1" applyBorder="1" applyAlignment="1">
      <alignment vertical="center"/>
    </xf>
    <xf numFmtId="0" fontId="1" fillId="22" borderId="1" xfId="44" applyFont="1" applyFill="1" applyBorder="1" applyAlignment="1">
      <alignment vertical="center"/>
    </xf>
    <xf numFmtId="0" fontId="1" fillId="22" borderId="27" xfId="44" applyFont="1" applyFill="1" applyBorder="1" applyAlignment="1">
      <alignment horizontal="center" vertical="center"/>
    </xf>
    <xf numFmtId="0" fontId="24" fillId="22" borderId="3" xfId="44" applyFont="1" applyFill="1" applyBorder="1" applyAlignment="1">
      <alignment vertical="center"/>
    </xf>
    <xf numFmtId="0" fontId="24" fillId="22" borderId="3" xfId="44" applyFont="1" applyFill="1" applyBorder="1" applyAlignment="1">
      <alignment horizontal="center" vertical="center"/>
    </xf>
    <xf numFmtId="0" fontId="33" fillId="22" borderId="0" xfId="44" applyFont="1" applyFill="1" applyAlignment="1">
      <alignment vertical="center"/>
    </xf>
    <xf numFmtId="0" fontId="33" fillId="0" borderId="0" xfId="44" applyFont="1" applyAlignment="1">
      <alignment vertical="center"/>
    </xf>
    <xf numFmtId="0" fontId="38" fillId="25" borderId="9" xfId="0" applyFont="1" applyFill="1" applyBorder="1"/>
    <xf numFmtId="3" fontId="39" fillId="22" borderId="9" xfId="0" applyNumberFormat="1" applyFont="1" applyFill="1" applyBorder="1" applyAlignment="1">
      <alignment horizontal="left"/>
    </xf>
    <xf numFmtId="0" fontId="1" fillId="24" borderId="0" xfId="44" applyFont="1" applyFill="1" applyAlignment="1">
      <alignment vertical="center"/>
    </xf>
    <xf numFmtId="1" fontId="25" fillId="25" borderId="40" xfId="44" applyNumberFormat="1" applyFont="1" applyFill="1" applyBorder="1" applyAlignment="1" applyProtection="1">
      <alignment vertical="center"/>
      <protection locked="0"/>
    </xf>
    <xf numFmtId="1" fontId="25" fillId="25" borderId="42" xfId="44" applyNumberFormat="1" applyFont="1" applyFill="1" applyBorder="1" applyAlignment="1" applyProtection="1">
      <alignment vertical="center"/>
      <protection locked="0"/>
    </xf>
    <xf numFmtId="1" fontId="25" fillId="25" borderId="41" xfId="44" applyNumberFormat="1" applyFont="1" applyFill="1" applyBorder="1" applyAlignment="1" applyProtection="1">
      <alignment vertical="center"/>
      <protection locked="0"/>
    </xf>
    <xf numFmtId="3" fontId="31" fillId="22" borderId="40" xfId="44" applyNumberFormat="1" applyFont="1" applyFill="1" applyBorder="1" applyAlignment="1">
      <alignment vertical="center"/>
    </xf>
    <xf numFmtId="3" fontId="31" fillId="22" borderId="42" xfId="44" applyNumberFormat="1" applyFont="1" applyFill="1" applyBorder="1" applyAlignment="1">
      <alignment vertical="center"/>
    </xf>
    <xf numFmtId="3" fontId="31" fillId="22" borderId="41" xfId="44" applyNumberFormat="1" applyFont="1" applyFill="1" applyBorder="1" applyAlignment="1">
      <alignment vertical="center"/>
    </xf>
    <xf numFmtId="0" fontId="1" fillId="21" borderId="46" xfId="44" applyFont="1" applyFill="1" applyBorder="1" applyAlignment="1">
      <alignment vertical="center"/>
    </xf>
    <xf numFmtId="0" fontId="1" fillId="21" borderId="45" xfId="44" applyFont="1" applyFill="1" applyBorder="1" applyAlignment="1">
      <alignment vertical="center"/>
    </xf>
    <xf numFmtId="3" fontId="31" fillId="22" borderId="44" xfId="44" applyNumberFormat="1" applyFont="1" applyFill="1" applyBorder="1" applyAlignment="1">
      <alignment vertical="center"/>
    </xf>
    <xf numFmtId="3" fontId="31" fillId="22" borderId="46" xfId="44" applyNumberFormat="1" applyFont="1" applyFill="1" applyBorder="1" applyAlignment="1">
      <alignment vertical="center"/>
    </xf>
    <xf numFmtId="3" fontId="31" fillId="22" borderId="45" xfId="44" applyNumberFormat="1" applyFont="1" applyFill="1" applyBorder="1" applyAlignment="1">
      <alignment vertical="center"/>
    </xf>
    <xf numFmtId="4" fontId="31" fillId="22" borderId="3" xfId="44" applyNumberFormat="1" applyFont="1" applyFill="1" applyBorder="1" applyAlignment="1">
      <alignment vertical="center"/>
    </xf>
    <xf numFmtId="0" fontId="25" fillId="25" borderId="5" xfId="44" applyFont="1" applyFill="1" applyBorder="1" applyAlignment="1" applyProtection="1">
      <alignment vertical="center"/>
      <protection locked="0"/>
    </xf>
    <xf numFmtId="164" fontId="23" fillId="22" borderId="46" xfId="44" applyNumberFormat="1" applyFont="1" applyFill="1" applyBorder="1" applyAlignment="1">
      <alignment vertical="center"/>
    </xf>
    <xf numFmtId="164" fontId="23" fillId="22" borderId="45" xfId="44" applyNumberFormat="1" applyFont="1" applyFill="1" applyBorder="1" applyAlignment="1">
      <alignment vertical="center"/>
    </xf>
    <xf numFmtId="167" fontId="23" fillId="22" borderId="4" xfId="44" applyNumberFormat="1" applyFont="1" applyFill="1" applyBorder="1" applyAlignment="1">
      <alignment vertical="center"/>
    </xf>
    <xf numFmtId="1" fontId="23" fillId="21" borderId="42" xfId="44" applyNumberFormat="1" applyFont="1" applyFill="1" applyBorder="1" applyAlignment="1">
      <alignment vertical="center"/>
    </xf>
    <xf numFmtId="1" fontId="23" fillId="21" borderId="41" xfId="44" applyNumberFormat="1" applyFont="1" applyFill="1" applyBorder="1" applyAlignment="1">
      <alignment vertical="center"/>
    </xf>
    <xf numFmtId="1" fontId="23" fillId="21" borderId="46" xfId="44" applyNumberFormat="1" applyFont="1" applyFill="1" applyBorder="1" applyAlignment="1">
      <alignment vertical="center"/>
    </xf>
    <xf numFmtId="1" fontId="23" fillId="21" borderId="45" xfId="44" applyNumberFormat="1" applyFont="1" applyFill="1" applyBorder="1" applyAlignment="1">
      <alignment vertical="center"/>
    </xf>
    <xf numFmtId="2" fontId="23" fillId="21" borderId="46" xfId="44" applyNumberFormat="1" applyFont="1" applyFill="1" applyBorder="1" applyAlignment="1">
      <alignment vertical="center"/>
    </xf>
    <xf numFmtId="2" fontId="23" fillId="21" borderId="45" xfId="44" applyNumberFormat="1" applyFont="1" applyFill="1" applyBorder="1" applyAlignment="1">
      <alignment vertical="center"/>
    </xf>
    <xf numFmtId="0" fontId="30" fillId="22" borderId="0" xfId="44" applyFont="1" applyFill="1"/>
    <xf numFmtId="0" fontId="1" fillId="22" borderId="28" xfId="44" applyFont="1" applyFill="1" applyBorder="1" applyAlignment="1">
      <alignment vertical="center"/>
    </xf>
    <xf numFmtId="0" fontId="30" fillId="22" borderId="44" xfId="44" applyFont="1" applyFill="1" applyBorder="1" applyAlignment="1">
      <alignment horizontal="left" vertical="center"/>
    </xf>
    <xf numFmtId="0" fontId="1" fillId="0" borderId="45" xfId="44" applyFont="1" applyBorder="1" applyAlignment="1">
      <alignment vertical="center"/>
    </xf>
    <xf numFmtId="0" fontId="1" fillId="22" borderId="45" xfId="44" applyFont="1" applyFill="1" applyBorder="1" applyAlignment="1">
      <alignment vertical="center"/>
    </xf>
    <xf numFmtId="0" fontId="30" fillId="22" borderId="45" xfId="44" applyFont="1" applyFill="1" applyBorder="1" applyAlignment="1">
      <alignment horizontal="left" vertical="center"/>
    </xf>
    <xf numFmtId="0" fontId="1" fillId="22" borderId="43" xfId="44" applyFont="1" applyFill="1" applyBorder="1" applyAlignment="1">
      <alignment vertical="center"/>
    </xf>
    <xf numFmtId="164" fontId="31" fillId="0" borderId="9" xfId="44" applyNumberFormat="1" applyFont="1" applyBorder="1" applyAlignment="1">
      <alignment horizontal="center" vertical="center"/>
    </xf>
    <xf numFmtId="0" fontId="24" fillId="22" borderId="43" xfId="44" applyFont="1" applyFill="1" applyBorder="1" applyAlignment="1">
      <alignment vertical="center"/>
    </xf>
    <xf numFmtId="0" fontId="24" fillId="24" borderId="0" xfId="44" applyFont="1" applyFill="1" applyAlignment="1">
      <alignment vertical="center"/>
    </xf>
    <xf numFmtId="4" fontId="23" fillId="22" borderId="40" xfId="44" applyNumberFormat="1" applyFont="1" applyFill="1" applyBorder="1" applyAlignment="1">
      <alignment vertical="center"/>
    </xf>
    <xf numFmtId="4" fontId="23" fillId="22" borderId="42" xfId="44" applyNumberFormat="1" applyFont="1" applyFill="1" applyBorder="1" applyAlignment="1">
      <alignment vertical="center"/>
    </xf>
    <xf numFmtId="4" fontId="23" fillId="22" borderId="41" xfId="44" applyNumberFormat="1" applyFont="1" applyFill="1" applyBorder="1" applyAlignment="1">
      <alignment vertical="center"/>
    </xf>
    <xf numFmtId="4" fontId="23" fillId="22" borderId="6" xfId="44" applyNumberFormat="1" applyFont="1" applyFill="1" applyBorder="1" applyAlignment="1">
      <alignment vertical="center"/>
    </xf>
    <xf numFmtId="4" fontId="23" fillId="22" borderId="0" xfId="44" applyNumberFormat="1" applyFont="1" applyFill="1" applyAlignment="1">
      <alignment vertical="center"/>
    </xf>
    <xf numFmtId="4" fontId="23" fillId="22" borderId="7" xfId="44" applyNumberFormat="1" applyFont="1" applyFill="1" applyBorder="1" applyAlignment="1">
      <alignment vertical="center"/>
    </xf>
    <xf numFmtId="3" fontId="31" fillId="22" borderId="7" xfId="44" applyNumberFormat="1" applyFont="1" applyFill="1" applyBorder="1" applyAlignment="1">
      <alignment vertical="center"/>
    </xf>
    <xf numFmtId="3" fontId="23" fillId="22" borderId="6" xfId="464" applyNumberFormat="1" applyFont="1" applyFill="1" applyBorder="1" applyAlignment="1" applyProtection="1">
      <alignment vertical="center"/>
    </xf>
    <xf numFmtId="3" fontId="23" fillId="22" borderId="0" xfId="464" applyNumberFormat="1" applyFont="1" applyFill="1" applyBorder="1" applyAlignment="1" applyProtection="1">
      <alignment vertical="center"/>
    </xf>
    <xf numFmtId="3" fontId="23" fillId="22" borderId="7" xfId="464" applyNumberFormat="1" applyFont="1" applyFill="1" applyBorder="1" applyAlignment="1" applyProtection="1">
      <alignment vertical="center"/>
    </xf>
    <xf numFmtId="3" fontId="23" fillId="22" borderId="34" xfId="44" applyNumberFormat="1" applyFont="1" applyFill="1" applyBorder="1" applyAlignment="1">
      <alignment vertical="center"/>
    </xf>
    <xf numFmtId="3" fontId="23" fillId="22" borderId="35" xfId="44" applyNumberFormat="1" applyFont="1" applyFill="1" applyBorder="1" applyAlignment="1">
      <alignment vertical="center"/>
    </xf>
    <xf numFmtId="3" fontId="23" fillId="22" borderId="46" xfId="44" applyNumberFormat="1" applyFont="1" applyFill="1" applyBorder="1" applyAlignment="1">
      <alignment vertical="center"/>
    </xf>
    <xf numFmtId="3" fontId="23" fillId="22" borderId="45" xfId="44" applyNumberFormat="1" applyFont="1" applyFill="1" applyBorder="1" applyAlignment="1">
      <alignment vertical="center"/>
    </xf>
    <xf numFmtId="0" fontId="37" fillId="22" borderId="0" xfId="44" applyFont="1" applyFill="1" applyAlignment="1">
      <alignment vertical="center"/>
    </xf>
    <xf numFmtId="0" fontId="37" fillId="22" borderId="0" xfId="44" applyFont="1" applyFill="1" applyAlignment="1">
      <alignment horizontal="center" vertical="center"/>
    </xf>
    <xf numFmtId="2" fontId="37" fillId="22" borderId="0" xfId="44" applyNumberFormat="1" applyFont="1" applyFill="1" applyAlignment="1">
      <alignment vertical="center"/>
    </xf>
    <xf numFmtId="2" fontId="33" fillId="22" borderId="0" xfId="44" applyNumberFormat="1" applyFont="1" applyFill="1"/>
    <xf numFmtId="169" fontId="23" fillId="22" borderId="0" xfId="44" applyNumberFormat="1" applyFont="1" applyFill="1" applyAlignment="1">
      <alignment vertical="center"/>
    </xf>
    <xf numFmtId="169" fontId="23" fillId="22" borderId="7" xfId="44" applyNumberFormat="1" applyFont="1" applyFill="1" applyBorder="1" applyAlignment="1">
      <alignment vertical="center"/>
    </xf>
    <xf numFmtId="0" fontId="32" fillId="22" borderId="6" xfId="44" applyFont="1" applyFill="1" applyBorder="1" applyAlignment="1">
      <alignment vertical="center"/>
    </xf>
    <xf numFmtId="0" fontId="24" fillId="22" borderId="7" xfId="44" applyFont="1" applyFill="1" applyBorder="1" applyAlignment="1">
      <alignment vertical="center"/>
    </xf>
    <xf numFmtId="0" fontId="24" fillId="22" borderId="22" xfId="44" applyFont="1" applyFill="1" applyBorder="1" applyAlignment="1">
      <alignment horizontal="center" vertical="center"/>
    </xf>
    <xf numFmtId="168" fontId="23" fillId="22" borderId="0" xfId="44" applyNumberFormat="1" applyFont="1" applyFill="1" applyAlignment="1">
      <alignment vertical="center"/>
    </xf>
    <xf numFmtId="168" fontId="23" fillId="22" borderId="7" xfId="44" applyNumberFormat="1" applyFont="1" applyFill="1" applyBorder="1" applyAlignment="1">
      <alignment vertical="center"/>
    </xf>
    <xf numFmtId="0" fontId="25" fillId="25" borderId="42" xfId="44" applyFont="1" applyFill="1" applyBorder="1" applyAlignment="1" applyProtection="1">
      <alignment vertical="center"/>
      <protection locked="0"/>
    </xf>
    <xf numFmtId="0" fontId="25" fillId="25" borderId="41" xfId="44" applyFont="1" applyFill="1" applyBorder="1" applyAlignment="1" applyProtection="1">
      <alignment vertical="center"/>
      <protection locked="0"/>
    </xf>
    <xf numFmtId="2" fontId="25" fillId="25" borderId="0" xfId="44" applyNumberFormat="1" applyFont="1" applyFill="1" applyAlignment="1" applyProtection="1">
      <alignment vertical="center"/>
      <protection locked="0"/>
    </xf>
    <xf numFmtId="2" fontId="25" fillId="25" borderId="7" xfId="44" applyNumberFormat="1" applyFont="1" applyFill="1" applyBorder="1" applyAlignment="1" applyProtection="1">
      <alignment vertical="center"/>
      <protection locked="0"/>
    </xf>
    <xf numFmtId="0" fontId="30" fillId="22" borderId="32" xfId="44" applyFont="1" applyFill="1" applyBorder="1" applyAlignment="1">
      <alignment horizontal="left" vertical="center"/>
    </xf>
    <xf numFmtId="0" fontId="30" fillId="22" borderId="33" xfId="44" applyFont="1" applyFill="1" applyBorder="1" applyAlignment="1">
      <alignment horizontal="left" vertical="center"/>
    </xf>
  </cellXfs>
  <cellStyles count="507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Besuchter Hyperlink" xfId="43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Besuchter Hyperlink" xfId="185" builtinId="9" hidden="1"/>
    <cellStyle name="Besuchter Hyperlink" xfId="187" builtinId="9" hidden="1"/>
    <cellStyle name="Besuchter Hyperlink" xfId="189" builtinId="9" hidden="1"/>
    <cellStyle name="Besuchter Hyperlink" xfId="191" builtinId="9" hidden="1"/>
    <cellStyle name="Besuchter Hyperlink" xfId="193" builtinId="9" hidden="1"/>
    <cellStyle name="Besuchter Hyperlink" xfId="195" builtinId="9" hidden="1"/>
    <cellStyle name="Besuchter Hyperlink" xfId="197" builtinId="9" hidden="1"/>
    <cellStyle name="Besuchter Hyperlink" xfId="199" builtinId="9" hidden="1"/>
    <cellStyle name="Besuchter Hyperlink" xfId="201" builtinId="9" hidden="1"/>
    <cellStyle name="Besuchter Hyperlink" xfId="205" builtinId="9" hidden="1"/>
    <cellStyle name="Besuchter Hyperlink" xfId="207" builtinId="9" hidden="1"/>
    <cellStyle name="Besuchter Hyperlink" xfId="209" builtinId="9" hidden="1"/>
    <cellStyle name="Besuchter Hyperlink" xfId="211" builtinId="9" hidden="1"/>
    <cellStyle name="Besuchter Hyperlink" xfId="213" builtinId="9" hidden="1"/>
    <cellStyle name="Besuchter Hyperlink" xfId="215" builtinId="9" hidden="1"/>
    <cellStyle name="Besuchter Hyperlink" xfId="217" builtinId="9" hidden="1"/>
    <cellStyle name="Besuchter Hyperlink" xfId="219" builtinId="9" hidden="1"/>
    <cellStyle name="Besuchter Hyperlink" xfId="221" builtinId="9" hidden="1"/>
    <cellStyle name="Besuchter Hyperlink" xfId="223" builtinId="9" hidden="1"/>
    <cellStyle name="Besuchter Hyperlink" xfId="225" builtinId="9" hidden="1"/>
    <cellStyle name="Besuchter Hyperlink" xfId="227" builtinId="9" hidden="1"/>
    <cellStyle name="Besuchter Hyperlink" xfId="229" builtinId="9" hidden="1"/>
    <cellStyle name="Besuchter Hyperlink" xfId="231" builtinId="9" hidden="1"/>
    <cellStyle name="Besuchter Hyperlink" xfId="233" builtinId="9" hidden="1"/>
    <cellStyle name="Besuchter Hyperlink" xfId="235" builtinId="9" hidden="1"/>
    <cellStyle name="Besuchter Hyperlink" xfId="237" builtinId="9" hidden="1"/>
    <cellStyle name="Besuchter Hyperlink" xfId="239" builtinId="9" hidden="1"/>
    <cellStyle name="Besuchter Hyperlink" xfId="241" builtinId="9" hidden="1"/>
    <cellStyle name="Besuchter Hyperlink" xfId="243" builtinId="9" hidden="1"/>
    <cellStyle name="Besuchter Hyperlink" xfId="245" builtinId="9" hidden="1"/>
    <cellStyle name="Besuchter Hyperlink" xfId="247" builtinId="9" hidden="1"/>
    <cellStyle name="Besuchter Hyperlink" xfId="249" builtinId="9" hidden="1"/>
    <cellStyle name="Besuchter Hyperlink" xfId="251" builtinId="9" hidden="1"/>
    <cellStyle name="Besuchter Hyperlink" xfId="253" builtinId="9" hidden="1"/>
    <cellStyle name="Besuchter Hyperlink" xfId="255" builtinId="9" hidden="1"/>
    <cellStyle name="Besuchter Hyperlink" xfId="257" builtinId="9" hidden="1"/>
    <cellStyle name="Besuchter Hyperlink" xfId="259" builtinId="9" hidden="1"/>
    <cellStyle name="Besuchter Hyperlink" xfId="261" builtinId="9" hidden="1"/>
    <cellStyle name="Besuchter Hyperlink" xfId="263" builtinId="9" hidden="1"/>
    <cellStyle name="Besuchter Hyperlink" xfId="265" builtinId="9" hidden="1"/>
    <cellStyle name="Besuchter Hyperlink" xfId="267" builtinId="9" hidden="1"/>
    <cellStyle name="Besuchter Hyperlink" xfId="269" builtinId="9" hidden="1"/>
    <cellStyle name="Besuchter Hyperlink" xfId="271" builtinId="9" hidden="1"/>
    <cellStyle name="Besuchter Hyperlink" xfId="273" builtinId="9" hidden="1"/>
    <cellStyle name="Besuchter Hyperlink" xfId="275" builtinId="9" hidden="1"/>
    <cellStyle name="Besuchter Hyperlink" xfId="277" builtinId="9" hidden="1"/>
    <cellStyle name="Besuchter Hyperlink" xfId="279" builtinId="9" hidden="1"/>
    <cellStyle name="Besuchter Hyperlink" xfId="281" builtinId="9" hidden="1"/>
    <cellStyle name="Besuchter Hyperlink" xfId="283" builtinId="9" hidden="1"/>
    <cellStyle name="Besuchter Hyperlink" xfId="285" builtinId="9" hidden="1"/>
    <cellStyle name="Besuchter Hyperlink" xfId="287" builtinId="9" hidden="1"/>
    <cellStyle name="Besuchter Hyperlink" xfId="289" builtinId="9" hidden="1"/>
    <cellStyle name="Besuchter Hyperlink" xfId="291" builtinId="9" hidden="1"/>
    <cellStyle name="Besuchter Hyperlink" xfId="293" builtinId="9" hidden="1"/>
    <cellStyle name="Besuchter Hyperlink" xfId="295" builtinId="9" hidden="1"/>
    <cellStyle name="Besuchter Hyperlink" xfId="297" builtinId="9" hidden="1"/>
    <cellStyle name="Besuchter Hyperlink" xfId="299" builtinId="9" hidden="1"/>
    <cellStyle name="Besuchter Hyperlink" xfId="301" builtinId="9" hidden="1"/>
    <cellStyle name="Besuchter Hyperlink" xfId="303" builtinId="9" hidden="1"/>
    <cellStyle name="Besuchter Hyperlink" xfId="305" builtinId="9" hidden="1"/>
    <cellStyle name="Besuchter Hyperlink" xfId="307" builtinId="9" hidden="1"/>
    <cellStyle name="Besuchter Hyperlink" xfId="309" builtinId="9" hidden="1"/>
    <cellStyle name="Besuchter Hyperlink" xfId="311" builtinId="9" hidden="1"/>
    <cellStyle name="Besuchter Hyperlink" xfId="313" builtinId="9" hidden="1"/>
    <cellStyle name="Besuchter Hyperlink" xfId="315" builtinId="9" hidden="1"/>
    <cellStyle name="Besuchter Hyperlink" xfId="317" builtinId="9" hidden="1"/>
    <cellStyle name="Besuchter Hyperlink" xfId="319" builtinId="9" hidden="1"/>
    <cellStyle name="Besuchter Hyperlink" xfId="321" builtinId="9" hidden="1"/>
    <cellStyle name="Besuchter Hyperlink" xfId="323" builtinId="9" hidden="1"/>
    <cellStyle name="Besuchter Hyperlink" xfId="325" builtinId="9" hidden="1"/>
    <cellStyle name="Besuchter Hyperlink" xfId="327" builtinId="9" hidden="1"/>
    <cellStyle name="Besuchter Hyperlink" xfId="329" builtinId="9" hidden="1"/>
    <cellStyle name="Besuchter Hyperlink" xfId="331" builtinId="9" hidden="1"/>
    <cellStyle name="Besuchter Hyperlink" xfId="333" builtinId="9" hidden="1"/>
    <cellStyle name="Besuchter Hyperlink" xfId="335" builtinId="9" hidden="1"/>
    <cellStyle name="Besuchter Hyperlink" xfId="337" builtinId="9" hidden="1"/>
    <cellStyle name="Besuchter Hyperlink" xfId="339" builtinId="9" hidden="1"/>
    <cellStyle name="Besuchter Hyperlink" xfId="341" builtinId="9" hidden="1"/>
    <cellStyle name="Besuchter Hyperlink" xfId="343" builtinId="9" hidden="1"/>
    <cellStyle name="Besuchter Hyperlink" xfId="345" builtinId="9" hidden="1"/>
    <cellStyle name="Besuchter Hyperlink" xfId="347" builtinId="9" hidden="1"/>
    <cellStyle name="Besuchter Hyperlink" xfId="349" builtinId="9" hidden="1"/>
    <cellStyle name="Besuchter Hyperlink" xfId="351" builtinId="9" hidden="1"/>
    <cellStyle name="Besuchter Hyperlink" xfId="353" builtinId="9" hidden="1"/>
    <cellStyle name="Besuchter Hyperlink" xfId="355" builtinId="9" hidden="1"/>
    <cellStyle name="Besuchter Hyperlink" xfId="357" builtinId="9" hidden="1"/>
    <cellStyle name="Besuchter Hyperlink" xfId="359" builtinId="9" hidden="1"/>
    <cellStyle name="Besuchter Hyperlink" xfId="361" builtinId="9" hidden="1"/>
    <cellStyle name="Besuchter Hyperlink" xfId="363" builtinId="9" hidden="1"/>
    <cellStyle name="Besuchter Hyperlink" xfId="365" builtinId="9" hidden="1"/>
    <cellStyle name="Besuchter Hyperlink" xfId="367" builtinId="9" hidden="1"/>
    <cellStyle name="Besuchter Hyperlink" xfId="369" builtinId="9" hidden="1"/>
    <cellStyle name="Besuchter Hyperlink" xfId="371" builtinId="9" hidden="1"/>
    <cellStyle name="Besuchter Hyperlink" xfId="373" builtinId="9" hidden="1"/>
    <cellStyle name="Besuchter Hyperlink" xfId="375" builtinId="9" hidden="1"/>
    <cellStyle name="Besuchter Hyperlink" xfId="377" builtinId="9" hidden="1"/>
    <cellStyle name="Besuchter Hyperlink" xfId="379" builtinId="9" hidden="1"/>
    <cellStyle name="Besuchter Hyperlink" xfId="381" builtinId="9" hidden="1"/>
    <cellStyle name="Besuchter Hyperlink" xfId="383" builtinId="9" hidden="1"/>
    <cellStyle name="Besuchter Hyperlink" xfId="385" builtinId="9" hidden="1"/>
    <cellStyle name="Besuchter Hyperlink" xfId="387" builtinId="9" hidden="1"/>
    <cellStyle name="Besuchter Hyperlink" xfId="389" builtinId="9" hidden="1"/>
    <cellStyle name="Besuchter Hyperlink" xfId="391" builtinId="9" hidden="1"/>
    <cellStyle name="Besuchter Hyperlink" xfId="393" builtinId="9" hidden="1"/>
    <cellStyle name="Besuchter Hyperlink" xfId="395" builtinId="9" hidden="1"/>
    <cellStyle name="Besuchter Hyperlink" xfId="397" builtinId="9" hidden="1"/>
    <cellStyle name="Besuchter Hyperlink" xfId="399" builtinId="9" hidden="1"/>
    <cellStyle name="Besuchter Hyperlink" xfId="401" builtinId="9" hidden="1"/>
    <cellStyle name="Besuchter Hyperlink" xfId="403" builtinId="9" hidden="1"/>
    <cellStyle name="Besuchter Hyperlink" xfId="405" builtinId="9" hidden="1"/>
    <cellStyle name="Besuchter Hyperlink" xfId="407" builtinId="9" hidden="1"/>
    <cellStyle name="Besuchter Hyperlink" xfId="409" builtinId="9" hidden="1"/>
    <cellStyle name="Besuchter Hyperlink" xfId="411" builtinId="9" hidden="1"/>
    <cellStyle name="Besuchter Hyperlink" xfId="413" builtinId="9" hidden="1"/>
    <cellStyle name="Besuchter Hyperlink" xfId="415" builtinId="9" hidden="1"/>
    <cellStyle name="Besuchter Hyperlink" xfId="417" builtinId="9" hidden="1"/>
    <cellStyle name="Besuchter Hyperlink" xfId="419" builtinId="9" hidden="1"/>
    <cellStyle name="Besuchter Hyperlink" xfId="421" builtinId="9" hidden="1"/>
    <cellStyle name="Besuchter Hyperlink" xfId="423" builtinId="9" hidden="1"/>
    <cellStyle name="Besuchter Hyperlink" xfId="425" builtinId="9" hidden="1"/>
    <cellStyle name="Besuchter Hyperlink" xfId="427" builtinId="9" hidden="1"/>
    <cellStyle name="Besuchter Hyperlink" xfId="429" builtinId="9" hidden="1"/>
    <cellStyle name="Besuchter Hyperlink" xfId="431" builtinId="9" hidden="1"/>
    <cellStyle name="Besuchter Hyperlink" xfId="433" builtinId="9" hidden="1"/>
    <cellStyle name="Besuchter Hyperlink" xfId="435" builtinId="9" hidden="1"/>
    <cellStyle name="Besuchter Hyperlink" xfId="437" builtinId="9" hidden="1"/>
    <cellStyle name="Besuchter Hyperlink" xfId="439" builtinId="9" hidden="1"/>
    <cellStyle name="Besuchter Hyperlink" xfId="441" builtinId="9" hidden="1"/>
    <cellStyle name="Besuchter Hyperlink" xfId="443" builtinId="9" hidden="1"/>
    <cellStyle name="Besuchter Hyperlink" xfId="445" builtinId="9" hidden="1"/>
    <cellStyle name="Besuchter Hyperlink" xfId="447" builtinId="9" hidden="1"/>
    <cellStyle name="Besuchter Hyperlink" xfId="449" builtinId="9" hidden="1"/>
    <cellStyle name="Besuchter Hyperlink" xfId="451" builtinId="9" hidden="1"/>
    <cellStyle name="Besuchter Hyperlink" xfId="453" builtinId="9" hidden="1"/>
    <cellStyle name="Besuchter Hyperlink" xfId="455" builtinId="9" hidden="1"/>
    <cellStyle name="Besuchter Hyperlink" xfId="457" builtinId="9" hidden="1"/>
    <cellStyle name="Besuchter Hyperlink" xfId="459" builtinId="9" hidden="1"/>
    <cellStyle name="Besuchter Hyperlink" xfId="461" builtinId="9" hidden="1"/>
    <cellStyle name="Besuchter Hyperlink" xfId="463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4" builtinId="9" hidden="1"/>
    <cellStyle name="Besuchter Hyperlink" xfId="496" builtinId="9" hidden="1"/>
    <cellStyle name="Besuchter Hyperlink" xfId="498" builtinId="9" hidden="1"/>
    <cellStyle name="Besuchter Hyperlink" xfId="500" builtinId="9" hidden="1"/>
    <cellStyle name="Besuchter Hyperlink" xfId="502" builtinId="9" hidden="1"/>
    <cellStyle name="Besuchter Hyperlink" xfId="504" builtinId="9" hidden="1"/>
    <cellStyle name="Besuchter Hyperlink" xfId="505" builtinId="9" hidden="1"/>
    <cellStyle name="Besuchter Hyperlink" xfId="506" builtinId="9" hidden="1"/>
    <cellStyle name="Eingabe" xfId="27" xr:uid="{00000000-0005-0000-0000-000001010000}"/>
    <cellStyle name="Ergebnis" xfId="28" xr:uid="{00000000-0005-0000-0000-000002010000}"/>
    <cellStyle name="Erklärender Text" xfId="29" xr:uid="{00000000-0005-0000-0000-000003010000}"/>
    <cellStyle name="Gut" xfId="30" xr:uid="{00000000-0005-0000-0000-000004010000}"/>
    <cellStyle name="Hinweis" xfId="31" xr:uid="{00000000-0005-0000-0000-000005010000}"/>
    <cellStyle name="Link" xfId="42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Link" xfId="402" builtinId="8" hidden="1"/>
    <cellStyle name="Link" xfId="404" builtinId="8" hidden="1"/>
    <cellStyle name="Link" xfId="406" builtinId="8" hidden="1"/>
    <cellStyle name="Link" xfId="408" builtinId="8" hidden="1"/>
    <cellStyle name="Link" xfId="410" builtinId="8" hidden="1"/>
    <cellStyle name="Link" xfId="412" builtinId="8" hidden="1"/>
    <cellStyle name="Link" xfId="414" builtinId="8" hidden="1"/>
    <cellStyle name="Link" xfId="416" builtinId="8" hidden="1"/>
    <cellStyle name="Link" xfId="418" builtinId="8" hidden="1"/>
    <cellStyle name="Link" xfId="420" builtinId="8" hidden="1"/>
    <cellStyle name="Link" xfId="422" builtinId="8" hidden="1"/>
    <cellStyle name="Link" xfId="424" builtinId="8" hidden="1"/>
    <cellStyle name="Link" xfId="426" builtinId="8" hidden="1"/>
    <cellStyle name="Link" xfId="428" builtinId="8" hidden="1"/>
    <cellStyle name="Link" xfId="430" builtinId="8" hidden="1"/>
    <cellStyle name="Link" xfId="432" builtinId="8" hidden="1"/>
    <cellStyle name="Link" xfId="434" builtinId="8" hidden="1"/>
    <cellStyle name="Link" xfId="436" builtinId="8" hidden="1"/>
    <cellStyle name="Link" xfId="438" builtinId="8" hidden="1"/>
    <cellStyle name="Link" xfId="440" builtinId="8" hidden="1"/>
    <cellStyle name="Link" xfId="442" builtinId="8" hidden="1"/>
    <cellStyle name="Link" xfId="444" builtinId="8" hidden="1"/>
    <cellStyle name="Link" xfId="446" builtinId="8" hidden="1"/>
    <cellStyle name="Link" xfId="448" builtinId="8" hidden="1"/>
    <cellStyle name="Link" xfId="450" builtinId="8" hidden="1"/>
    <cellStyle name="Link" xfId="452" builtinId="8" hidden="1"/>
    <cellStyle name="Link" xfId="454" builtinId="8" hidden="1"/>
    <cellStyle name="Link" xfId="456" builtinId="8" hidden="1"/>
    <cellStyle name="Link" xfId="458" builtinId="8" hidden="1"/>
    <cellStyle name="Link" xfId="460" builtinId="8" hidden="1"/>
    <cellStyle name="Link" xfId="462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/>
    <cellStyle name="Neutral" xfId="32" xr:uid="{00000000-0005-0000-0000-0000EB010000}"/>
    <cellStyle name="Prozent" xfId="464" builtinId="5"/>
    <cellStyle name="Schlecht" xfId="33" xr:uid="{00000000-0005-0000-0000-0000ED010000}"/>
    <cellStyle name="Standard" xfId="0" builtinId="0"/>
    <cellStyle name="Standard 2" xfId="44" xr:uid="{00000000-0005-0000-0000-0000EF010000}"/>
    <cellStyle name="Standard 3" xfId="151" xr:uid="{00000000-0005-0000-0000-0000F0010000}"/>
    <cellStyle name="Standard 4" xfId="202" xr:uid="{00000000-0005-0000-0000-0000F1010000}"/>
    <cellStyle name="Standard 5" xfId="203" xr:uid="{00000000-0005-0000-0000-0000F2010000}"/>
    <cellStyle name="Titel" xfId="34" xr:uid="{00000000-0005-0000-0000-0000F3010000}"/>
    <cellStyle name="Überschrift 1" xfId="35" xr:uid="{00000000-0005-0000-0000-0000F4010000}"/>
    <cellStyle name="Überschrift 2" xfId="36" xr:uid="{00000000-0005-0000-0000-0000F5010000}"/>
    <cellStyle name="Überschrift 3" xfId="37" xr:uid="{00000000-0005-0000-0000-0000F6010000}"/>
    <cellStyle name="Überschrift 4" xfId="38" xr:uid="{00000000-0005-0000-0000-0000F7010000}"/>
    <cellStyle name="Verknüpfte Zelle" xfId="39" xr:uid="{00000000-0005-0000-0000-0000F8010000}"/>
    <cellStyle name="Warnender Text" xfId="40" xr:uid="{00000000-0005-0000-0000-0000F9010000}"/>
    <cellStyle name="Zelle überprüfen" xfId="41" xr:uid="{00000000-0005-0000-0000-0000FA010000}"/>
  </cellStyles>
  <dxfs count="3">
    <dxf>
      <font>
        <b val="0"/>
        <i val="0"/>
        <strike val="0"/>
        <color rgb="FFFF0000"/>
      </font>
      <fill>
        <patternFill>
          <bgColor theme="9" tint="0.79998168889431442"/>
        </patternFill>
      </fill>
    </dxf>
    <dxf>
      <font>
        <b/>
        <i val="0"/>
        <strike val="0"/>
        <color rgb="FF00B050"/>
      </font>
      <fill>
        <patternFill>
          <bgColor theme="6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 val="0"/>
        <i val="0"/>
        <strike val="0"/>
        <color rgb="FF0070C0"/>
      </font>
      <fill>
        <patternFill>
          <bgColor theme="8" tint="0.79998168889431442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8697173430031"/>
          <c:y val="2.7825604782573614E-2"/>
          <c:w val="0.8532741555478961"/>
          <c:h val="0.79879920144167693"/>
        </c:manualLayout>
      </c:layout>
      <c:lineChart>
        <c:grouping val="standard"/>
        <c:varyColors val="0"/>
        <c:ser>
          <c:idx val="0"/>
          <c:order val="0"/>
          <c:tx>
            <c:strRef>
              <c:f>Eingaben!$B$81</c:f>
              <c:strCache>
                <c:ptCount val="1"/>
                <c:pt idx="0">
                  <c:v>Gesamtkosten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diamond"/>
            <c:size val="14"/>
            <c:spPr>
              <a:noFill/>
              <a:ln w="31750">
                <a:solidFill>
                  <a:srgbClr val="0000FF"/>
                </a:solidFill>
              </a:ln>
            </c:spPr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Eingaben!$E$81:$U$81</c:f>
              <c:numCache>
                <c:formatCode>#,##0.00</c:formatCode>
                <c:ptCount val="17"/>
                <c:pt idx="0">
                  <c:v>429.47768650466139</c:v>
                </c:pt>
                <c:pt idx="1">
                  <c:v>103.21897904209216</c:v>
                </c:pt>
                <c:pt idx="2">
                  <c:v>27.498685267390456</c:v>
                </c:pt>
                <c:pt idx="3">
                  <c:v>14.119664630299916</c:v>
                </c:pt>
                <c:pt idx="4">
                  <c:v>5.9092311410871652</c:v>
                </c:pt>
                <c:pt idx="5">
                  <c:v>3.4662084494889718</c:v>
                </c:pt>
                <c:pt idx="6">
                  <c:v>3.117797452539341</c:v>
                </c:pt>
                <c:pt idx="7">
                  <c:v>3.0994323806222654</c:v>
                </c:pt>
                <c:pt idx="8">
                  <c:v>3.5267529137285027</c:v>
                </c:pt>
                <c:pt idx="9">
                  <c:v>4.1949999492134138</c:v>
                </c:pt>
                <c:pt idx="10">
                  <c:v>5.0296896297118971</c:v>
                </c:pt>
                <c:pt idx="11">
                  <c:v>5.9756881006159288</c:v>
                </c:pt>
                <c:pt idx="12">
                  <c:v>7.0792077398251374</c:v>
                </c:pt>
                <c:pt idx="13">
                  <c:v>8.0871263022810123</c:v>
                </c:pt>
                <c:pt idx="14">
                  <c:v>9.054371700212771</c:v>
                </c:pt>
                <c:pt idx="15">
                  <c:v>9.9573259018014362</c:v>
                </c:pt>
                <c:pt idx="16">
                  <c:v>10.607178743899741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02-401F-B4C2-C0DD996D94F3}"/>
            </c:ext>
          </c:extLst>
        </c:ser>
        <c:ser>
          <c:idx val="5"/>
          <c:order val="1"/>
          <c:tx>
            <c:strRef>
              <c:f>Eingaben!$B$83</c:f>
              <c:strCache>
                <c:ptCount val="1"/>
                <c:pt idx="0">
                  <c:v>Bereich optimaler Nenndurchmesser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5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Eingaben!$E$83:$U$83</c:f>
              <c:numCache>
                <c:formatCode>0.00</c:formatCode>
                <c:ptCount val="17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3.0994323806222654</c:v>
                </c:pt>
                <c:pt idx="8">
                  <c:v>3.5267529137285027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02-401F-B4C2-C0DD996D94F3}"/>
            </c:ext>
          </c:extLst>
        </c:ser>
        <c:ser>
          <c:idx val="1"/>
          <c:order val="2"/>
          <c:tx>
            <c:strRef>
              <c:f>Eingaben!$B$65</c:f>
              <c:strCache>
                <c:ptCount val="1"/>
                <c:pt idx="0">
                  <c:v>Stromkosten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Eingaben!$E$65:$U$65</c:f>
              <c:numCache>
                <c:formatCode>#,##0.00</c:formatCode>
                <c:ptCount val="17"/>
                <c:pt idx="0">
                  <c:v>427.91832303052234</c:v>
                </c:pt>
                <c:pt idx="1">
                  <c:v>101.56194585613325</c:v>
                </c:pt>
                <c:pt idx="2">
                  <c:v>25.671629310351094</c:v>
                </c:pt>
                <c:pt idx="3">
                  <c:v>12.054987954392123</c:v>
                </c:pt>
                <c:pt idx="4">
                  <c:v>3.6453121510401214</c:v>
                </c:pt>
                <c:pt idx="5">
                  <c:v>1.0177186615257792</c:v>
                </c:pt>
                <c:pt idx="6">
                  <c:v>0.46677896830754367</c:v>
                </c:pt>
                <c:pt idx="7">
                  <c:v>0.14266762283480286</c:v>
                </c:pt>
                <c:pt idx="8">
                  <c:v>6.389613503522637E-2</c:v>
                </c:pt>
                <c:pt idx="9">
                  <c:v>3.822459016672429E-2</c:v>
                </c:pt>
                <c:pt idx="10">
                  <c:v>2.6064045376182569E-2</c:v>
                </c:pt>
                <c:pt idx="11">
                  <c:v>2.3117114051254922E-2</c:v>
                </c:pt>
                <c:pt idx="12">
                  <c:v>2.2268546423352468E-2</c:v>
                </c:pt>
                <c:pt idx="13">
                  <c:v>2.2026693649772139E-2</c:v>
                </c:pt>
                <c:pt idx="14">
                  <c:v>2.1840599173186367E-2</c:v>
                </c:pt>
                <c:pt idx="15">
                  <c:v>2.1742240465629E-2</c:v>
                </c:pt>
                <c:pt idx="16">
                  <c:v>2.1691804001292829E-2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A02-401F-B4C2-C0DD996D94F3}"/>
            </c:ext>
          </c:extLst>
        </c:ser>
        <c:ser>
          <c:idx val="2"/>
          <c:order val="3"/>
          <c:tx>
            <c:strRef>
              <c:f>Eingaben!$B$58</c:f>
              <c:strCache>
                <c:ptCount val="1"/>
                <c:pt idx="0">
                  <c:v>Kapitalkosten</c:v>
                </c:pt>
              </c:strCache>
            </c:strRef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Eingaben!$E$58:$U$58</c:f>
              <c:numCache>
                <c:formatCode>#,##0.00</c:formatCode>
                <c:ptCount val="17"/>
                <c:pt idx="0">
                  <c:v>1.2490058571731959</c:v>
                </c:pt>
                <c:pt idx="1">
                  <c:v>1.3075021278752896</c:v>
                </c:pt>
                <c:pt idx="2">
                  <c:v>1.4442497048466332</c:v>
                </c:pt>
                <c:pt idx="3">
                  <c:v>1.6329237144108477</c:v>
                </c:pt>
                <c:pt idx="4">
                  <c:v>1.7846247229609447</c:v>
                </c:pt>
                <c:pt idx="5">
                  <c:v>1.918299616266971</c:v>
                </c:pt>
                <c:pt idx="6">
                  <c:v>2.086795006262832</c:v>
                </c:pt>
                <c:pt idx="7">
                  <c:v>2.3510874800177</c:v>
                </c:pt>
                <c:pt idx="8">
                  <c:v>2.7608986459340046</c:v>
                </c:pt>
                <c:pt idx="9">
                  <c:v>3.341694977172101</c:v>
                </c:pt>
                <c:pt idx="10">
                  <c:v>4.0880724523015584</c:v>
                </c:pt>
                <c:pt idx="11">
                  <c:v>4.9635259931790552</c:v>
                </c:pt>
                <c:pt idx="12">
                  <c:v>5.9066037000530489</c:v>
                </c:pt>
                <c:pt idx="13">
                  <c:v>6.8434458838947814</c:v>
                </c:pt>
                <c:pt idx="14">
                  <c:v>7.7067088959564005</c:v>
                </c:pt>
                <c:pt idx="15">
                  <c:v>8.4608737545550987</c:v>
                </c:pt>
                <c:pt idx="16">
                  <c:v>9.1339395690843759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A02-401F-B4C2-C0DD996D94F3}"/>
            </c:ext>
          </c:extLst>
        </c:ser>
        <c:ser>
          <c:idx val="3"/>
          <c:order val="4"/>
          <c:tx>
            <c:strRef>
              <c:f>Eingaben!$B$72</c:f>
              <c:strCache>
                <c:ptCount val="1"/>
                <c:pt idx="0">
                  <c:v>Wärmeverlustkosten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Eingaben!$E$72:$U$72</c:f>
              <c:numCache>
                <c:formatCode>0.00</c:formatCode>
                <c:ptCount val="17"/>
                <c:pt idx="0">
                  <c:v>0.18795228672247366</c:v>
                </c:pt>
                <c:pt idx="1">
                  <c:v>0.22139296422498461</c:v>
                </c:pt>
                <c:pt idx="2">
                  <c:v>0.24126659402355216</c:v>
                </c:pt>
                <c:pt idx="3">
                  <c:v>0.2717228340346039</c:v>
                </c:pt>
                <c:pt idx="4">
                  <c:v>0.30439710602005066</c:v>
                </c:pt>
                <c:pt idx="5">
                  <c:v>0.34219257609946624</c:v>
                </c:pt>
                <c:pt idx="6">
                  <c:v>0.35971296232585998</c:v>
                </c:pt>
                <c:pt idx="7">
                  <c:v>0.37526551647196449</c:v>
                </c:pt>
                <c:pt idx="8">
                  <c:v>0.43138397285197178</c:v>
                </c:pt>
                <c:pt idx="9">
                  <c:v>0.48758689983519032</c:v>
                </c:pt>
                <c:pt idx="10">
                  <c:v>0.51491301036555781</c:v>
                </c:pt>
                <c:pt idx="11">
                  <c:v>0.50260849280624564</c:v>
                </c:pt>
                <c:pt idx="12">
                  <c:v>0.57147529636148109</c:v>
                </c:pt>
                <c:pt idx="13">
                  <c:v>0.55098092635870999</c:v>
                </c:pt>
                <c:pt idx="14">
                  <c:v>0.57054772652003205</c:v>
                </c:pt>
                <c:pt idx="15">
                  <c:v>0.64552560782358359</c:v>
                </c:pt>
                <c:pt idx="16">
                  <c:v>0.55640113674687319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A02-401F-B4C2-C0DD996D94F3}"/>
            </c:ext>
          </c:extLst>
        </c:ser>
        <c:ser>
          <c:idx val="4"/>
          <c:order val="5"/>
          <c:tx>
            <c:strRef>
              <c:f>Eingaben!$B$76</c:f>
              <c:strCache>
                <c:ptCount val="1"/>
                <c:pt idx="0">
                  <c:v>Unterhaltskosten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Eingaben!$E$25:$U$25</c:f>
              <c:numCache>
                <c:formatCode>General</c:formatCode>
                <c:ptCount val="1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3">
                  <c:v>40</c:v>
                </c:pt>
                <c:pt idx="4">
                  <c:v>50</c:v>
                </c:pt>
                <c:pt idx="5">
                  <c:v>65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150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350</c:v>
                </c:pt>
                <c:pt idx="14">
                  <c:v>400</c:v>
                </c:pt>
                <c:pt idx="15">
                  <c:v>450</c:v>
                </c:pt>
                <c:pt idx="16">
                  <c:v>500</c:v>
                </c:pt>
              </c:numCache>
            </c:numRef>
          </c:cat>
          <c:val>
            <c:numRef>
              <c:f>Eingaben!$E$77:$U$77</c:f>
              <c:numCache>
                <c:formatCode>0.00</c:formatCode>
                <c:ptCount val="17"/>
                <c:pt idx="0">
                  <c:v>0.12240533024333718</c:v>
                </c:pt>
                <c:pt idx="1">
                  <c:v>0.1281380938586327</c:v>
                </c:pt>
                <c:pt idx="2">
                  <c:v>0.1415396581691773</c:v>
                </c:pt>
                <c:pt idx="3">
                  <c:v>0.16003012746234072</c:v>
                </c:pt>
                <c:pt idx="4">
                  <c:v>0.17489716106604866</c:v>
                </c:pt>
                <c:pt idx="5">
                  <c:v>0.18799759559675563</c:v>
                </c:pt>
                <c:pt idx="6">
                  <c:v>0.20451051564310518</c:v>
                </c:pt>
                <c:pt idx="7">
                  <c:v>0.23041176129779806</c:v>
                </c:pt>
                <c:pt idx="8">
                  <c:v>0.27057415990729983</c:v>
                </c:pt>
                <c:pt idx="9">
                  <c:v>0.32749348203939743</c:v>
                </c:pt>
                <c:pt idx="10">
                  <c:v>0.4006401216685988</c:v>
                </c:pt>
                <c:pt idx="11">
                  <c:v>0.48643650057937377</c:v>
                </c:pt>
                <c:pt idx="12">
                  <c:v>0.57886019698725466</c:v>
                </c:pt>
                <c:pt idx="13">
                  <c:v>0.67067279837774985</c:v>
                </c:pt>
                <c:pt idx="14">
                  <c:v>0.75527447856315177</c:v>
                </c:pt>
                <c:pt idx="15">
                  <c:v>0.82918429895712653</c:v>
                </c:pt>
                <c:pt idx="16">
                  <c:v>0.89514623406719751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A02-401F-B4C2-C0DD996D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6098648"/>
        <c:axId val="-2116753480"/>
      </c:lineChart>
      <c:catAx>
        <c:axId val="-2116098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DN</a:t>
                </a:r>
              </a:p>
            </c:rich>
          </c:tx>
          <c:layout>
            <c:manualLayout>
              <c:xMode val="edge"/>
              <c:yMode val="edge"/>
              <c:x val="0.50711738301086395"/>
              <c:y val="0.956813054567000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16753480"/>
        <c:crosses val="autoZero"/>
        <c:auto val="1"/>
        <c:lblAlgn val="ctr"/>
        <c:lblOffset val="100"/>
        <c:noMultiLvlLbl val="0"/>
      </c:catAx>
      <c:valAx>
        <c:axId val="-2116753480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/>
                  <a:t>Rp./kWh</a:t>
                </a:r>
              </a:p>
            </c:rich>
          </c:tx>
          <c:layout>
            <c:manualLayout>
              <c:xMode val="edge"/>
              <c:yMode val="edge"/>
              <c:x val="7.2045334846456708E-3"/>
              <c:y val="0.41589998564704239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crossAx val="-2116098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478461270318108"/>
          <c:y val="4.0375640944110044E-2"/>
          <c:w val="0.38724963625426961"/>
          <c:h val="0.21346612631588352"/>
        </c:manualLayout>
      </c:layout>
      <c:overlay val="0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solidFill>
        <a:schemeClr val="bg1">
          <a:lumMod val="50000"/>
        </a:schemeClr>
      </a:solidFill>
    </a:ln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C91823-0E5E-4C0E-BA62-6C82A0F77F91}">
  <sheetPr/>
  <sheetViews>
    <sheetView zoomScale="9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159030</xdr:rowOff>
    </xdr:from>
    <xdr:to>
      <xdr:col>1</xdr:col>
      <xdr:colOff>2183423</xdr:colOff>
      <xdr:row>3</xdr:row>
      <xdr:rowOff>7032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14313" y="159030"/>
          <a:ext cx="2182139" cy="507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6277167" cy="1051983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C5C733-08A4-9376-0809-787FF2B90C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qmthermischenetz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X1037"/>
  <sheetViews>
    <sheetView tabSelected="1" zoomScale="80" zoomScaleNormal="80" workbookViewId="0">
      <selection activeCell="R7" sqref="R7"/>
    </sheetView>
  </sheetViews>
  <sheetFormatPr baseColWidth="10" defaultColWidth="0" defaultRowHeight="12" customHeight="1" zeroHeight="1" x14ac:dyDescent="0.35"/>
  <cols>
    <col min="1" max="1" width="3" style="7" customWidth="1"/>
    <col min="2" max="2" width="33.921875" style="10" customWidth="1"/>
    <col min="3" max="3" width="12.3828125" style="10" customWidth="1"/>
    <col min="4" max="4" width="12.53515625" style="10" customWidth="1"/>
    <col min="5" max="21" width="15.61328125" style="10" customWidth="1"/>
    <col min="22" max="22" width="12.23046875" style="7" bestFit="1" customWidth="1"/>
    <col min="23" max="26" width="12.23046875" style="7" hidden="1" customWidth="1"/>
    <col min="27" max="752" width="0" style="7" hidden="1" customWidth="1"/>
    <col min="753" max="16384" width="10.84375" style="10" hidden="1"/>
  </cols>
  <sheetData>
    <row r="1" spans="1:752" s="7" customFormat="1" ht="27" customHeight="1" x14ac:dyDescent="0.35">
      <c r="C1" s="1" t="s">
        <v>103</v>
      </c>
    </row>
    <row r="2" spans="1:752" s="7" customFormat="1" ht="12" customHeight="1" x14ac:dyDescent="0.35">
      <c r="D2" s="8" t="s">
        <v>88</v>
      </c>
      <c r="E2" s="7" t="s">
        <v>118</v>
      </c>
    </row>
    <row r="3" spans="1:752" s="7" customFormat="1" ht="12" customHeight="1" x14ac:dyDescent="0.35">
      <c r="D3" s="8" t="s">
        <v>86</v>
      </c>
      <c r="E3" s="2" t="s">
        <v>117</v>
      </c>
    </row>
    <row r="4" spans="1:752" s="7" customFormat="1" ht="12" customHeight="1" x14ac:dyDescent="0.35">
      <c r="D4" s="8" t="s">
        <v>90</v>
      </c>
      <c r="E4" s="7" t="s">
        <v>93</v>
      </c>
    </row>
    <row r="5" spans="1:752" s="7" customFormat="1" ht="12" customHeight="1" x14ac:dyDescent="0.35">
      <c r="D5" s="8"/>
      <c r="E5" s="7" t="s">
        <v>87</v>
      </c>
    </row>
    <row r="6" spans="1:752" s="7" customFormat="1" ht="12" customHeight="1" x14ac:dyDescent="0.35">
      <c r="D6" s="8"/>
      <c r="E6" s="7" t="s">
        <v>104</v>
      </c>
    </row>
    <row r="7" spans="1:752" s="7" customFormat="1" ht="12" customHeight="1" x14ac:dyDescent="0.35">
      <c r="D7" s="8" t="s">
        <v>89</v>
      </c>
      <c r="E7" s="7" t="s">
        <v>105</v>
      </c>
    </row>
    <row r="8" spans="1:752" s="7" customFormat="1" ht="12" customHeight="1" x14ac:dyDescent="0.35">
      <c r="D8" s="8" t="s">
        <v>94</v>
      </c>
      <c r="E8" s="7" t="s">
        <v>121</v>
      </c>
    </row>
    <row r="9" spans="1:752" ht="12" customHeight="1" x14ac:dyDescent="0.35">
      <c r="B9" s="136" t="s">
        <v>106</v>
      </c>
      <c r="C9" s="9"/>
      <c r="D9" s="8" t="s">
        <v>95</v>
      </c>
      <c r="E9" s="3" t="s">
        <v>120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752" ht="12" customHeight="1" x14ac:dyDescent="0.35">
      <c r="B10" s="137" t="s">
        <v>92</v>
      </c>
      <c r="C10" s="11"/>
      <c r="D10" s="8" t="s">
        <v>96</v>
      </c>
      <c r="E10" s="7" t="s">
        <v>119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752" ht="12" customHeight="1" x14ac:dyDescent="0.35">
      <c r="B11" s="11"/>
      <c r="C11" s="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752" ht="14.05" customHeight="1" x14ac:dyDescent="0.35">
      <c r="C12" s="7"/>
      <c r="D12" s="7"/>
      <c r="E12" s="7"/>
      <c r="F12" s="4"/>
      <c r="G12" s="7"/>
      <c r="H12" s="5"/>
      <c r="I12" s="12"/>
      <c r="J12" s="7"/>
      <c r="K12" s="12"/>
      <c r="L12" s="12"/>
      <c r="M12" s="12"/>
      <c r="N12" s="12"/>
      <c r="O12" s="7"/>
      <c r="P12" s="7"/>
      <c r="Q12" s="7"/>
      <c r="R12" s="7"/>
      <c r="S12" s="7"/>
      <c r="T12" s="7"/>
      <c r="U12" s="7"/>
    </row>
    <row r="13" spans="1:752" s="24" customFormat="1" ht="15" customHeight="1" x14ac:dyDescent="0.3">
      <c r="A13" s="13"/>
      <c r="B13" s="14" t="s">
        <v>17</v>
      </c>
      <c r="C13" s="15">
        <v>1726</v>
      </c>
      <c r="D13" s="16" t="s">
        <v>18</v>
      </c>
      <c r="E13" s="13"/>
      <c r="F13" s="163" t="s">
        <v>58</v>
      </c>
      <c r="G13" s="164"/>
      <c r="H13" s="18">
        <v>90</v>
      </c>
      <c r="I13" s="19" t="s">
        <v>4</v>
      </c>
      <c r="J13" s="13"/>
      <c r="K13" s="20" t="s">
        <v>45</v>
      </c>
      <c r="L13" s="21"/>
      <c r="M13" s="22">
        <v>0</v>
      </c>
      <c r="N13" s="23" t="s">
        <v>46</v>
      </c>
      <c r="O13" s="13"/>
      <c r="P13" s="170" t="s">
        <v>114</v>
      </c>
      <c r="Q13" s="138"/>
      <c r="R13" s="138"/>
      <c r="S13" s="138"/>
      <c r="T13" s="138"/>
      <c r="U13" s="138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</row>
    <row r="14" spans="1:752" s="24" customFormat="1" ht="15" customHeight="1" x14ac:dyDescent="0.3">
      <c r="A14" s="13"/>
      <c r="B14" s="25" t="s">
        <v>19</v>
      </c>
      <c r="C14" s="26">
        <f>C15-C16</f>
        <v>25</v>
      </c>
      <c r="D14" s="16" t="s">
        <v>20</v>
      </c>
      <c r="E14" s="13"/>
      <c r="F14" s="163" t="s">
        <v>59</v>
      </c>
      <c r="G14" s="165"/>
      <c r="H14" s="22">
        <v>80</v>
      </c>
      <c r="I14" s="28" t="s">
        <v>4</v>
      </c>
      <c r="J14" s="13"/>
      <c r="K14" s="29" t="s">
        <v>32</v>
      </c>
      <c r="L14" s="13"/>
      <c r="M14" s="22">
        <v>0.01</v>
      </c>
      <c r="N14" s="30" t="s">
        <v>12</v>
      </c>
      <c r="O14" s="13"/>
      <c r="P14" s="138" t="s">
        <v>115</v>
      </c>
      <c r="Q14" s="138"/>
      <c r="R14" s="138"/>
      <c r="S14" s="138"/>
      <c r="T14" s="138"/>
      <c r="U14" s="138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</row>
    <row r="15" spans="1:752" s="24" customFormat="1" ht="15" customHeight="1" x14ac:dyDescent="0.3">
      <c r="A15" s="13"/>
      <c r="B15" s="31" t="s">
        <v>54</v>
      </c>
      <c r="C15" s="32">
        <v>80</v>
      </c>
      <c r="D15" s="33" t="s">
        <v>56</v>
      </c>
      <c r="E15" s="13"/>
      <c r="F15" s="163" t="s">
        <v>71</v>
      </c>
      <c r="G15" s="165"/>
      <c r="H15" s="22">
        <v>85</v>
      </c>
      <c r="I15" s="28" t="s">
        <v>4</v>
      </c>
      <c r="J15" s="13"/>
      <c r="K15" s="34" t="s">
        <v>101</v>
      </c>
      <c r="L15" s="35"/>
      <c r="M15" s="36">
        <v>0.8</v>
      </c>
      <c r="N15" s="30" t="s">
        <v>78</v>
      </c>
      <c r="O15" s="13"/>
      <c r="P15" s="138" t="s">
        <v>116</v>
      </c>
      <c r="Q15" s="138"/>
      <c r="R15" s="138"/>
      <c r="S15" s="138"/>
      <c r="T15" s="138"/>
      <c r="U15" s="138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</row>
    <row r="16" spans="1:752" s="24" customFormat="1" ht="15" customHeight="1" x14ac:dyDescent="0.3">
      <c r="A16" s="13"/>
      <c r="B16" s="37" t="s">
        <v>55</v>
      </c>
      <c r="C16" s="38">
        <v>55</v>
      </c>
      <c r="D16" s="30" t="s">
        <v>56</v>
      </c>
      <c r="E16" s="13"/>
      <c r="F16" s="13"/>
      <c r="G16" s="13"/>
      <c r="H16" s="13"/>
      <c r="I16" s="13"/>
      <c r="J16" s="13"/>
      <c r="K16" s="39"/>
      <c r="L16" s="40"/>
      <c r="M16" s="41">
        <f>M15/10</f>
        <v>0.08</v>
      </c>
      <c r="N16" s="30" t="s">
        <v>83</v>
      </c>
      <c r="O16" s="13"/>
      <c r="P16" s="138" t="s">
        <v>122</v>
      </c>
      <c r="Q16" s="138"/>
      <c r="R16" s="138"/>
      <c r="S16" s="138"/>
      <c r="T16" s="138"/>
      <c r="U16" s="138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</row>
    <row r="17" spans="1:752" s="24" customFormat="1" ht="15" customHeight="1" x14ac:dyDescent="0.3">
      <c r="A17" s="13"/>
      <c r="B17" s="13"/>
      <c r="C17" s="13"/>
      <c r="D17" s="13"/>
      <c r="E17" s="13"/>
      <c r="F17" s="112" t="s">
        <v>1</v>
      </c>
      <c r="G17" s="162"/>
      <c r="H17" s="43">
        <v>3</v>
      </c>
      <c r="I17" s="33" t="s">
        <v>10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</row>
    <row r="18" spans="1:752" s="24" customFormat="1" ht="15" customHeight="1" x14ac:dyDescent="0.3">
      <c r="A18" s="13"/>
      <c r="B18" s="44" t="s">
        <v>13</v>
      </c>
      <c r="C18" s="45">
        <v>1000</v>
      </c>
      <c r="D18" s="46" t="s">
        <v>91</v>
      </c>
      <c r="E18" s="13"/>
      <c r="F18" s="39" t="s">
        <v>15</v>
      </c>
      <c r="G18" s="50"/>
      <c r="H18" s="48">
        <v>30</v>
      </c>
      <c r="I18" s="30" t="s">
        <v>0</v>
      </c>
      <c r="J18" s="13"/>
      <c r="K18" s="163" t="s">
        <v>63</v>
      </c>
      <c r="L18" s="164"/>
      <c r="M18" s="18">
        <v>10</v>
      </c>
      <c r="N18" s="19" t="s">
        <v>56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</row>
    <row r="19" spans="1:752" s="24" customFormat="1" ht="15" customHeight="1" x14ac:dyDescent="0.3">
      <c r="A19" s="13"/>
      <c r="B19" s="53"/>
      <c r="C19" s="53"/>
      <c r="D19" s="53"/>
      <c r="E19" s="13"/>
      <c r="F19" s="39" t="s">
        <v>8</v>
      </c>
      <c r="G19" s="50"/>
      <c r="H19" s="51">
        <f>IF(H17=0,1/H18,H17/100*(1+H17/100)^H18/((1+H17/100)^H18-1))</f>
        <v>5.10192593202526E-2</v>
      </c>
      <c r="I19" s="30" t="s">
        <v>5</v>
      </c>
      <c r="J19" s="13"/>
      <c r="K19" s="163" t="s">
        <v>64</v>
      </c>
      <c r="L19" s="165"/>
      <c r="M19" s="22">
        <v>2.5999999999999999E-2</v>
      </c>
      <c r="N19" s="28" t="s">
        <v>65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</row>
    <row r="20" spans="1:752" s="24" customFormat="1" ht="15" customHeight="1" x14ac:dyDescent="0.3">
      <c r="A20" s="13"/>
      <c r="B20" s="14" t="s">
        <v>68</v>
      </c>
      <c r="C20" s="15">
        <v>2000</v>
      </c>
      <c r="D20" s="16" t="s">
        <v>23</v>
      </c>
      <c r="E20" s="13"/>
      <c r="F20" s="13"/>
      <c r="G20" s="13"/>
      <c r="H20" s="13"/>
      <c r="I20" s="13"/>
      <c r="J20" s="13"/>
      <c r="K20" s="163" t="s">
        <v>72</v>
      </c>
      <c r="L20" s="166"/>
      <c r="M20" s="22">
        <v>1.2</v>
      </c>
      <c r="N20" s="28" t="s">
        <v>65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</row>
    <row r="21" spans="1:752" s="24" customFormat="1" ht="15" customHeight="1" x14ac:dyDescent="0.3">
      <c r="A21" s="53"/>
      <c r="B21" s="25" t="s">
        <v>69</v>
      </c>
      <c r="C21" s="26">
        <f>C20*C13/1000</f>
        <v>3452</v>
      </c>
      <c r="D21" s="16" t="s">
        <v>70</v>
      </c>
      <c r="E21" s="13"/>
      <c r="F21" s="20" t="s">
        <v>22</v>
      </c>
      <c r="G21" s="21"/>
      <c r="H21" s="22">
        <v>20</v>
      </c>
      <c r="I21" s="23" t="s">
        <v>31</v>
      </c>
      <c r="J21" s="13"/>
      <c r="K21" s="163" t="s">
        <v>66</v>
      </c>
      <c r="L21" s="165"/>
      <c r="M21" s="22">
        <v>0.6</v>
      </c>
      <c r="N21" s="28" t="s">
        <v>52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</row>
    <row r="22" spans="1:752" s="24" customFormat="1" ht="15" customHeight="1" x14ac:dyDescent="0.3">
      <c r="A22" s="13"/>
      <c r="B22" s="13"/>
      <c r="C22" s="13"/>
      <c r="D22" s="13"/>
      <c r="E22" s="13"/>
      <c r="F22" s="20" t="s">
        <v>67</v>
      </c>
      <c r="G22" s="21"/>
      <c r="H22" s="22">
        <v>5</v>
      </c>
      <c r="I22" s="23" t="s">
        <v>31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</row>
    <row r="23" spans="1:752" s="24" customFormat="1" ht="15" customHeight="1" x14ac:dyDescent="0.3">
      <c r="A23" s="13"/>
      <c r="B23" s="169" t="s">
        <v>111</v>
      </c>
      <c r="C23" s="168">
        <f>C21/C18</f>
        <v>3.452</v>
      </c>
      <c r="D23" s="167" t="s">
        <v>112</v>
      </c>
      <c r="E23" s="13"/>
      <c r="F23" s="20" t="s">
        <v>82</v>
      </c>
      <c r="G23" s="21"/>
      <c r="H23" s="22">
        <v>0.5</v>
      </c>
      <c r="I23" s="23" t="s">
        <v>10</v>
      </c>
      <c r="J23" s="13"/>
      <c r="K23" s="17" t="s">
        <v>80</v>
      </c>
      <c r="L23" s="27"/>
      <c r="M23" s="22">
        <v>0.35</v>
      </c>
      <c r="N23" s="28" t="s">
        <v>21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</row>
    <row r="24" spans="1:752" s="24" customFormat="1" ht="1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</row>
    <row r="25" spans="1:752" s="24" customFormat="1" ht="15" customHeight="1" x14ac:dyDescent="0.3">
      <c r="A25" s="13"/>
      <c r="B25" s="54" t="s">
        <v>14</v>
      </c>
      <c r="C25" s="55"/>
      <c r="D25" s="56" t="s">
        <v>35</v>
      </c>
      <c r="E25" s="57">
        <v>20</v>
      </c>
      <c r="F25" s="57">
        <v>25</v>
      </c>
      <c r="G25" s="57">
        <v>32</v>
      </c>
      <c r="H25" s="57">
        <v>40</v>
      </c>
      <c r="I25" s="57">
        <v>50</v>
      </c>
      <c r="J25" s="57">
        <v>65</v>
      </c>
      <c r="K25" s="57">
        <v>80</v>
      </c>
      <c r="L25" s="57">
        <v>100</v>
      </c>
      <c r="M25" s="57">
        <v>125</v>
      </c>
      <c r="N25" s="57">
        <v>150</v>
      </c>
      <c r="O25" s="57">
        <v>200</v>
      </c>
      <c r="P25" s="57">
        <v>250</v>
      </c>
      <c r="Q25" s="57">
        <v>300</v>
      </c>
      <c r="R25" s="57">
        <v>350</v>
      </c>
      <c r="S25" s="57">
        <v>400</v>
      </c>
      <c r="T25" s="57">
        <v>450</v>
      </c>
      <c r="U25" s="58">
        <v>500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</row>
    <row r="26" spans="1:752" s="24" customFormat="1" ht="15" customHeight="1" x14ac:dyDescent="0.3">
      <c r="A26" s="13"/>
      <c r="B26" s="59" t="s">
        <v>99</v>
      </c>
      <c r="C26" s="60"/>
      <c r="D26" s="49" t="s">
        <v>12</v>
      </c>
      <c r="E26" s="196">
        <v>26.9</v>
      </c>
      <c r="F26" s="196">
        <v>33.700000000000003</v>
      </c>
      <c r="G26" s="196">
        <v>42.4</v>
      </c>
      <c r="H26" s="196">
        <v>48.3</v>
      </c>
      <c r="I26" s="196">
        <v>60.3</v>
      </c>
      <c r="J26" s="196">
        <v>76.099999999999994</v>
      </c>
      <c r="K26" s="196">
        <v>88.9</v>
      </c>
      <c r="L26" s="196">
        <v>114.3</v>
      </c>
      <c r="M26" s="196">
        <v>139.69999999999999</v>
      </c>
      <c r="N26" s="66">
        <v>168.3</v>
      </c>
      <c r="O26" s="196">
        <v>219.1</v>
      </c>
      <c r="P26" s="196">
        <v>273</v>
      </c>
      <c r="Q26" s="196">
        <v>323.89999999999998</v>
      </c>
      <c r="R26" s="196">
        <v>355.6</v>
      </c>
      <c r="S26" s="196">
        <v>406.4</v>
      </c>
      <c r="T26" s="196">
        <v>457.2</v>
      </c>
      <c r="U26" s="197">
        <v>508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</row>
    <row r="27" spans="1:752" s="24" customFormat="1" ht="15" customHeight="1" x14ac:dyDescent="0.3">
      <c r="A27" s="13"/>
      <c r="B27" s="61" t="s">
        <v>102</v>
      </c>
      <c r="C27" s="62"/>
      <c r="D27" s="63" t="s">
        <v>12</v>
      </c>
      <c r="E27" s="198">
        <v>2.65</v>
      </c>
      <c r="F27" s="198">
        <v>2.6</v>
      </c>
      <c r="G27" s="198">
        <v>2.6</v>
      </c>
      <c r="H27" s="198">
        <v>2.6</v>
      </c>
      <c r="I27" s="198">
        <v>2.9</v>
      </c>
      <c r="J27" s="198">
        <v>2.9</v>
      </c>
      <c r="K27" s="198">
        <v>3.2</v>
      </c>
      <c r="L27" s="198">
        <v>3.6</v>
      </c>
      <c r="M27" s="198">
        <v>3.6</v>
      </c>
      <c r="N27" s="198">
        <v>4</v>
      </c>
      <c r="O27" s="198">
        <v>4.5</v>
      </c>
      <c r="P27" s="198">
        <v>5</v>
      </c>
      <c r="Q27" s="198">
        <v>5.6</v>
      </c>
      <c r="R27" s="198">
        <v>5.6</v>
      </c>
      <c r="S27" s="198">
        <v>6.3</v>
      </c>
      <c r="T27" s="198">
        <v>6.3</v>
      </c>
      <c r="U27" s="199">
        <v>6.3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</row>
    <row r="28" spans="1:752" s="24" customFormat="1" ht="15" customHeight="1" x14ac:dyDescent="0.3">
      <c r="A28" s="13"/>
      <c r="B28" s="65" t="s">
        <v>97</v>
      </c>
      <c r="C28" s="62"/>
      <c r="D28" s="63" t="s">
        <v>12</v>
      </c>
      <c r="E28" s="66">
        <v>110</v>
      </c>
      <c r="F28" s="66">
        <v>110</v>
      </c>
      <c r="G28" s="66">
        <v>125</v>
      </c>
      <c r="H28" s="66">
        <v>125</v>
      </c>
      <c r="I28" s="66">
        <v>140</v>
      </c>
      <c r="J28" s="66">
        <v>160</v>
      </c>
      <c r="K28" s="66">
        <v>180</v>
      </c>
      <c r="L28" s="66">
        <v>225</v>
      </c>
      <c r="M28" s="67">
        <v>250</v>
      </c>
      <c r="N28" s="67">
        <v>280</v>
      </c>
      <c r="O28" s="67">
        <v>355</v>
      </c>
      <c r="P28" s="67">
        <v>450</v>
      </c>
      <c r="Q28" s="67">
        <v>500</v>
      </c>
      <c r="R28" s="67">
        <v>560</v>
      </c>
      <c r="S28" s="67">
        <v>630</v>
      </c>
      <c r="T28" s="67">
        <v>670</v>
      </c>
      <c r="U28" s="68">
        <v>800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</row>
    <row r="29" spans="1:752" s="24" customFormat="1" ht="15" customHeight="1" x14ac:dyDescent="0.3">
      <c r="A29" s="13"/>
      <c r="B29" s="61" t="s">
        <v>98</v>
      </c>
      <c r="C29" s="64"/>
      <c r="D29" s="63" t="s">
        <v>21</v>
      </c>
      <c r="E29" s="66">
        <v>0.6</v>
      </c>
      <c r="F29" s="66">
        <v>1</v>
      </c>
      <c r="G29" s="66">
        <v>1.1000000000000001</v>
      </c>
      <c r="H29" s="66">
        <v>1.2</v>
      </c>
      <c r="I29" s="66">
        <v>1.4</v>
      </c>
      <c r="J29" s="66">
        <v>1.6</v>
      </c>
      <c r="K29" s="66">
        <v>1.8</v>
      </c>
      <c r="L29" s="66">
        <v>1.9</v>
      </c>
      <c r="M29" s="69">
        <v>2</v>
      </c>
      <c r="N29" s="66">
        <v>2.5</v>
      </c>
      <c r="O29" s="97">
        <v>3.3</v>
      </c>
      <c r="P29" s="97">
        <v>3.9</v>
      </c>
      <c r="Q29" s="97">
        <v>4.3</v>
      </c>
      <c r="R29" s="97">
        <v>4.5999999999999996</v>
      </c>
      <c r="S29" s="97">
        <v>5</v>
      </c>
      <c r="T29" s="97">
        <v>5.4</v>
      </c>
      <c r="U29" s="151">
        <v>5.7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</row>
    <row r="30" spans="1:752" s="24" customFormat="1" ht="15" customHeight="1" x14ac:dyDescent="0.3">
      <c r="A30" s="13"/>
      <c r="B30" s="70" t="s">
        <v>84</v>
      </c>
      <c r="C30" s="71"/>
      <c r="D30" s="72" t="s">
        <v>18</v>
      </c>
      <c r="E30" s="73">
        <f>E31^2*PI()/4*E29*983*$C$14*4183/1000</f>
        <v>22.601123328749274</v>
      </c>
      <c r="F30" s="73">
        <f t="shared" ref="F30:P30" si="0">F31^2*PI()/4*F29*983*$C$14*4183/1000</f>
        <v>65.578426582421031</v>
      </c>
      <c r="G30" s="73">
        <f t="shared" si="0"/>
        <v>122.89942114619782</v>
      </c>
      <c r="H30" s="73">
        <f t="shared" si="0"/>
        <v>179.97287682920927</v>
      </c>
      <c r="I30" s="73">
        <f t="shared" si="0"/>
        <v>335.73167150386001</v>
      </c>
      <c r="J30" s="73">
        <f t="shared" si="0"/>
        <v>638.41326927171099</v>
      </c>
      <c r="K30" s="73">
        <f t="shared" si="0"/>
        <v>989.12612947723653</v>
      </c>
      <c r="L30" s="73">
        <f t="shared" si="0"/>
        <v>1759.5589241058892</v>
      </c>
      <c r="M30" s="73">
        <f t="shared" si="0"/>
        <v>2834.8691946756016</v>
      </c>
      <c r="N30" s="73">
        <f t="shared" si="0"/>
        <v>5186.5470960919738</v>
      </c>
      <c r="O30" s="73">
        <f t="shared" si="0"/>
        <v>11760.812255527393</v>
      </c>
      <c r="P30" s="152">
        <f t="shared" si="0"/>
        <v>21779.473480196943</v>
      </c>
      <c r="Q30" s="152">
        <f t="shared" ref="Q30:U30" si="1">Q31^2*PI()/4*Q29*983*$C$14*4183/1000</f>
        <v>33946.538053330238</v>
      </c>
      <c r="R30" s="152">
        <f t="shared" si="1"/>
        <v>44050.961246617539</v>
      </c>
      <c r="S30" s="152">
        <f t="shared" si="1"/>
        <v>62602.647534973068</v>
      </c>
      <c r="T30" s="152">
        <f t="shared" si="1"/>
        <v>86179.495822729048</v>
      </c>
      <c r="U30" s="153">
        <f t="shared" si="1"/>
        <v>112942.69138829892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</row>
    <row r="31" spans="1:752" s="24" customFormat="1" ht="15" customHeight="1" x14ac:dyDescent="0.3">
      <c r="A31" s="13"/>
      <c r="B31" s="61" t="s">
        <v>50</v>
      </c>
      <c r="C31" s="64"/>
      <c r="D31" s="63" t="s">
        <v>52</v>
      </c>
      <c r="E31" s="74">
        <f>(E26-2*E27)/1000</f>
        <v>2.1599999999999998E-2</v>
      </c>
      <c r="F31" s="74">
        <f t="shared" ref="F31:N31" si="2">(F26-2*F27)/1000</f>
        <v>2.8500000000000004E-2</v>
      </c>
      <c r="G31" s="74">
        <f t="shared" si="2"/>
        <v>3.7199999999999997E-2</v>
      </c>
      <c r="H31" s="74">
        <f t="shared" si="2"/>
        <v>4.3099999999999992E-2</v>
      </c>
      <c r="I31" s="74">
        <f t="shared" si="2"/>
        <v>5.45E-2</v>
      </c>
      <c r="J31" s="74">
        <f t="shared" si="2"/>
        <v>7.0300000000000001E-2</v>
      </c>
      <c r="K31" s="74">
        <f t="shared" si="2"/>
        <v>8.2500000000000004E-2</v>
      </c>
      <c r="L31" s="74">
        <f t="shared" si="2"/>
        <v>0.1071</v>
      </c>
      <c r="M31" s="74">
        <f t="shared" si="2"/>
        <v>0.13250000000000001</v>
      </c>
      <c r="N31" s="74">
        <f t="shared" si="2"/>
        <v>0.1603</v>
      </c>
      <c r="O31" s="74">
        <f t="shared" ref="O31:P31" si="3">(O26-2*O27)/1000</f>
        <v>0.21009999999999998</v>
      </c>
      <c r="P31" s="74">
        <f t="shared" si="3"/>
        <v>0.26300000000000001</v>
      </c>
      <c r="Q31" s="74">
        <f t="shared" ref="Q31:U31" si="4">(Q26-2*Q27)/1000</f>
        <v>0.31269999999999998</v>
      </c>
      <c r="R31" s="74">
        <f t="shared" si="4"/>
        <v>0.34440000000000004</v>
      </c>
      <c r="S31" s="74">
        <f t="shared" si="4"/>
        <v>0.39379999999999993</v>
      </c>
      <c r="T31" s="74">
        <f t="shared" si="4"/>
        <v>0.44459999999999994</v>
      </c>
      <c r="U31" s="75">
        <f t="shared" si="4"/>
        <v>0.49539999999999995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</row>
    <row r="32" spans="1:752" s="24" customFormat="1" ht="15" customHeight="1" x14ac:dyDescent="0.3">
      <c r="A32" s="13"/>
      <c r="B32" s="61" t="s">
        <v>51</v>
      </c>
      <c r="C32" s="64"/>
      <c r="D32" s="63" t="s">
        <v>85</v>
      </c>
      <c r="E32" s="76">
        <f>$C$13*1000/(983*$C$14*4183)</f>
        <v>1.6790336509570177E-2</v>
      </c>
      <c r="F32" s="76">
        <f>$E32</f>
        <v>1.6790336509570177E-2</v>
      </c>
      <c r="G32" s="76">
        <f t="shared" ref="G32:U32" si="5">$E32</f>
        <v>1.6790336509570177E-2</v>
      </c>
      <c r="H32" s="76">
        <f t="shared" si="5"/>
        <v>1.6790336509570177E-2</v>
      </c>
      <c r="I32" s="76">
        <f t="shared" si="5"/>
        <v>1.6790336509570177E-2</v>
      </c>
      <c r="J32" s="76">
        <f t="shared" si="5"/>
        <v>1.6790336509570177E-2</v>
      </c>
      <c r="K32" s="76">
        <f t="shared" si="5"/>
        <v>1.6790336509570177E-2</v>
      </c>
      <c r="L32" s="76">
        <f t="shared" si="5"/>
        <v>1.6790336509570177E-2</v>
      </c>
      <c r="M32" s="76">
        <f t="shared" si="5"/>
        <v>1.6790336509570177E-2</v>
      </c>
      <c r="N32" s="76">
        <f t="shared" si="5"/>
        <v>1.6790336509570177E-2</v>
      </c>
      <c r="O32" s="76">
        <f t="shared" si="5"/>
        <v>1.6790336509570177E-2</v>
      </c>
      <c r="P32" s="154">
        <f t="shared" si="5"/>
        <v>1.6790336509570177E-2</v>
      </c>
      <c r="Q32" s="154">
        <f t="shared" si="5"/>
        <v>1.6790336509570177E-2</v>
      </c>
      <c r="R32" s="154">
        <f t="shared" si="5"/>
        <v>1.6790336509570177E-2</v>
      </c>
      <c r="S32" s="154">
        <f t="shared" si="5"/>
        <v>1.6790336509570177E-2</v>
      </c>
      <c r="T32" s="154">
        <f t="shared" si="5"/>
        <v>1.6790336509570177E-2</v>
      </c>
      <c r="U32" s="77">
        <f t="shared" si="5"/>
        <v>1.6790336509570177E-2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</row>
    <row r="33" spans="1:752" s="24" customFormat="1" ht="15" customHeight="1" x14ac:dyDescent="0.3">
      <c r="A33" s="13"/>
      <c r="B33" s="59" t="s">
        <v>27</v>
      </c>
      <c r="C33" s="35"/>
      <c r="D33" s="49" t="s">
        <v>21</v>
      </c>
      <c r="E33" s="78">
        <f>E32*4/(E31^2*PI())</f>
        <v>45.820731338724528</v>
      </c>
      <c r="F33" s="78">
        <f t="shared" ref="F33:P33" si="6">F32*4/(F31^2*PI())</f>
        <v>26.319631164537157</v>
      </c>
      <c r="G33" s="78">
        <f t="shared" si="6"/>
        <v>15.448404738550209</v>
      </c>
      <c r="H33" s="78">
        <f t="shared" si="6"/>
        <v>11.508400801780418</v>
      </c>
      <c r="I33" s="78">
        <f t="shared" si="6"/>
        <v>7.1974144982393113</v>
      </c>
      <c r="J33" s="78">
        <f t="shared" si="6"/>
        <v>4.325724625289161</v>
      </c>
      <c r="K33" s="78">
        <f t="shared" si="6"/>
        <v>3.1409543307100547</v>
      </c>
      <c r="L33" s="78">
        <f t="shared" si="6"/>
        <v>1.8637625345035889</v>
      </c>
      <c r="M33" s="78">
        <f t="shared" si="6"/>
        <v>1.217692867975525</v>
      </c>
      <c r="N33" s="78">
        <f t="shared" si="6"/>
        <v>0.83196005358773706</v>
      </c>
      <c r="O33" s="78">
        <f t="shared" si="6"/>
        <v>0.48430328418201429</v>
      </c>
      <c r="P33" s="78">
        <f t="shared" si="6"/>
        <v>0.3090708325029321</v>
      </c>
      <c r="Q33" s="78">
        <f t="shared" ref="Q33:U33" si="7">Q32*4/(Q31^2*PI())</f>
        <v>0.21863201450293115</v>
      </c>
      <c r="R33" s="78">
        <f t="shared" si="7"/>
        <v>0.180236702567067</v>
      </c>
      <c r="S33" s="78">
        <f t="shared" si="7"/>
        <v>0.13785359469308126</v>
      </c>
      <c r="T33" s="78">
        <f t="shared" si="7"/>
        <v>0.10815101563337103</v>
      </c>
      <c r="U33" s="79">
        <f t="shared" si="7"/>
        <v>8.7107894092731522E-2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</row>
    <row r="34" spans="1:752" s="24" customFormat="1" ht="15" customHeight="1" x14ac:dyDescent="0.3">
      <c r="A34" s="13"/>
      <c r="B34" s="80" t="s">
        <v>28</v>
      </c>
      <c r="C34" s="40"/>
      <c r="D34" s="52" t="s">
        <v>29</v>
      </c>
      <c r="E34" s="81">
        <f>IF(E48&lt;50,0,IF(E48&gt;300,0,1))</f>
        <v>0</v>
      </c>
      <c r="F34" s="81">
        <f t="shared" ref="F34:U34" si="8">IF(F48&lt;50,0,IF(F48&gt;300,0,1))</f>
        <v>0</v>
      </c>
      <c r="G34" s="81">
        <f t="shared" si="8"/>
        <v>0</v>
      </c>
      <c r="H34" s="81">
        <f t="shared" si="8"/>
        <v>0</v>
      </c>
      <c r="I34" s="81">
        <f t="shared" si="8"/>
        <v>0</v>
      </c>
      <c r="J34" s="81">
        <f t="shared" si="8"/>
        <v>0</v>
      </c>
      <c r="K34" s="81">
        <f t="shared" si="8"/>
        <v>0</v>
      </c>
      <c r="L34" s="81">
        <f t="shared" si="8"/>
        <v>1</v>
      </c>
      <c r="M34" s="81">
        <f t="shared" si="8"/>
        <v>1</v>
      </c>
      <c r="N34" s="81">
        <f t="shared" si="8"/>
        <v>0</v>
      </c>
      <c r="O34" s="81">
        <f t="shared" si="8"/>
        <v>0</v>
      </c>
      <c r="P34" s="81">
        <f t="shared" si="8"/>
        <v>0</v>
      </c>
      <c r="Q34" s="81">
        <f t="shared" si="8"/>
        <v>0</v>
      </c>
      <c r="R34" s="81">
        <f t="shared" si="8"/>
        <v>0</v>
      </c>
      <c r="S34" s="81">
        <f t="shared" si="8"/>
        <v>0</v>
      </c>
      <c r="T34" s="81">
        <f t="shared" si="8"/>
        <v>0</v>
      </c>
      <c r="U34" s="82">
        <f t="shared" si="8"/>
        <v>0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</row>
    <row r="35" spans="1:752" s="24" customFormat="1" ht="15" customHeight="1" x14ac:dyDescent="0.3">
      <c r="A35" s="13"/>
      <c r="B35" s="61"/>
      <c r="C35" s="64"/>
      <c r="D35" s="63"/>
      <c r="E35" s="74">
        <f>IF(E48&lt;50,0,IF(E48&gt;300,0,1))</f>
        <v>0</v>
      </c>
      <c r="F35" s="74">
        <f t="shared" ref="F35:U35" si="9">IF(F48&lt;50,0,IF(F48&gt;300,0,1))</f>
        <v>0</v>
      </c>
      <c r="G35" s="74">
        <f t="shared" si="9"/>
        <v>0</v>
      </c>
      <c r="H35" s="74">
        <f t="shared" si="9"/>
        <v>0</v>
      </c>
      <c r="I35" s="74">
        <f t="shared" si="9"/>
        <v>0</v>
      </c>
      <c r="J35" s="74">
        <f t="shared" si="9"/>
        <v>0</v>
      </c>
      <c r="K35" s="74">
        <f t="shared" si="9"/>
        <v>0</v>
      </c>
      <c r="L35" s="74">
        <f t="shared" si="9"/>
        <v>1</v>
      </c>
      <c r="M35" s="74">
        <f t="shared" si="9"/>
        <v>1</v>
      </c>
      <c r="N35" s="74">
        <f t="shared" si="9"/>
        <v>0</v>
      </c>
      <c r="O35" s="74">
        <f t="shared" si="9"/>
        <v>0</v>
      </c>
      <c r="P35" s="74">
        <f t="shared" si="9"/>
        <v>0</v>
      </c>
      <c r="Q35" s="74">
        <f t="shared" si="9"/>
        <v>0</v>
      </c>
      <c r="R35" s="74">
        <f t="shared" si="9"/>
        <v>0</v>
      </c>
      <c r="S35" s="74">
        <f t="shared" si="9"/>
        <v>0</v>
      </c>
      <c r="T35" s="74">
        <f t="shared" si="9"/>
        <v>0</v>
      </c>
      <c r="U35" s="75">
        <f t="shared" si="9"/>
        <v>0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</row>
    <row r="36" spans="1:752" s="24" customFormat="1" ht="15" customHeight="1" x14ac:dyDescent="0.3">
      <c r="A36" s="13"/>
      <c r="B36" s="61" t="s">
        <v>30</v>
      </c>
      <c r="C36" s="64"/>
      <c r="D36" s="63" t="s">
        <v>35</v>
      </c>
      <c r="E36" s="83">
        <f t="shared" ref="E36:P36" si="10">E33*E31/(0.000000474)</f>
        <v>2088033.3268279531</v>
      </c>
      <c r="F36" s="83">
        <f t="shared" si="10"/>
        <v>1582509.4687538168</v>
      </c>
      <c r="G36" s="83">
        <f t="shared" si="10"/>
        <v>1212406.447835586</v>
      </c>
      <c r="H36" s="83">
        <f t="shared" si="10"/>
        <v>1046438.9758580927</v>
      </c>
      <c r="I36" s="83">
        <f t="shared" si="10"/>
        <v>827550.82310979429</v>
      </c>
      <c r="J36" s="83">
        <f t="shared" si="10"/>
        <v>641557.89273803378</v>
      </c>
      <c r="K36" s="83">
        <f t="shared" si="10"/>
        <v>546685.089205864</v>
      </c>
      <c r="L36" s="83">
        <f t="shared" si="10"/>
        <v>421115.96507454512</v>
      </c>
      <c r="M36" s="83">
        <f t="shared" si="10"/>
        <v>340388.82912817947</v>
      </c>
      <c r="N36" s="83">
        <f t="shared" si="10"/>
        <v>281356.95483146468</v>
      </c>
      <c r="O36" s="83">
        <f t="shared" si="10"/>
        <v>214666.91984523457</v>
      </c>
      <c r="P36" s="83">
        <f t="shared" si="10"/>
        <v>171488.6686672387</v>
      </c>
      <c r="Q36" s="83">
        <f t="shared" ref="Q36:U36" si="11">Q33*Q31/(0.000000474)</f>
        <v>144232.55471533031</v>
      </c>
      <c r="R36" s="83">
        <f t="shared" si="11"/>
        <v>130956.79401708415</v>
      </c>
      <c r="S36" s="83">
        <f t="shared" si="11"/>
        <v>114528.99913530673</v>
      </c>
      <c r="T36" s="83">
        <f t="shared" si="11"/>
        <v>101442.91466370624</v>
      </c>
      <c r="U36" s="84">
        <f t="shared" si="11"/>
        <v>91040.613361897034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</row>
    <row r="37" spans="1:752" s="24" customFormat="1" ht="15" customHeight="1" x14ac:dyDescent="0.3">
      <c r="A37" s="13"/>
      <c r="B37" s="61" t="s">
        <v>44</v>
      </c>
      <c r="C37" s="64"/>
      <c r="D37" s="63" t="s">
        <v>35</v>
      </c>
      <c r="E37" s="83">
        <f t="shared" ref="E37:P37" si="12">$C$18*2/E31</f>
        <v>92592.592592592599</v>
      </c>
      <c r="F37" s="83">
        <f t="shared" si="12"/>
        <v>70175.438596491222</v>
      </c>
      <c r="G37" s="83">
        <f t="shared" si="12"/>
        <v>53763.440860215058</v>
      </c>
      <c r="H37" s="83">
        <f t="shared" si="12"/>
        <v>46403.712296983766</v>
      </c>
      <c r="I37" s="83">
        <f t="shared" si="12"/>
        <v>36697.247706422022</v>
      </c>
      <c r="J37" s="83">
        <f t="shared" si="12"/>
        <v>28449.50213371266</v>
      </c>
      <c r="K37" s="83">
        <f t="shared" si="12"/>
        <v>24242.42424242424</v>
      </c>
      <c r="L37" s="83">
        <f t="shared" si="12"/>
        <v>18674.136321195143</v>
      </c>
      <c r="M37" s="83">
        <f t="shared" si="12"/>
        <v>15094.339622641508</v>
      </c>
      <c r="N37" s="83">
        <f t="shared" si="12"/>
        <v>12476.606363069246</v>
      </c>
      <c r="O37" s="83">
        <f t="shared" si="12"/>
        <v>9519.2765349833426</v>
      </c>
      <c r="P37" s="83">
        <f t="shared" si="12"/>
        <v>7604.5627376425855</v>
      </c>
      <c r="Q37" s="83">
        <f t="shared" ref="Q37:U37" si="13">$C$18*2/Q31</f>
        <v>6395.906619763352</v>
      </c>
      <c r="R37" s="83">
        <f t="shared" si="13"/>
        <v>5807.2009291521481</v>
      </c>
      <c r="S37" s="83">
        <f t="shared" si="13"/>
        <v>5078.7201625190464</v>
      </c>
      <c r="T37" s="83">
        <f t="shared" si="13"/>
        <v>4498.4255510571302</v>
      </c>
      <c r="U37" s="84">
        <f t="shared" si="13"/>
        <v>4037.1417036737994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</row>
    <row r="38" spans="1:752" s="24" customFormat="1" ht="15" customHeight="1" x14ac:dyDescent="0.3">
      <c r="A38" s="13"/>
      <c r="B38" s="61" t="s">
        <v>53</v>
      </c>
      <c r="C38" s="64"/>
      <c r="D38" s="63" t="s">
        <v>35</v>
      </c>
      <c r="E38" s="74">
        <f>E31*1000/$M$14</f>
        <v>2159.9999999999995</v>
      </c>
      <c r="F38" s="74">
        <f t="shared" ref="F38:P38" si="14">F31*1000/$M$14</f>
        <v>2850.0000000000005</v>
      </c>
      <c r="G38" s="74">
        <f t="shared" si="14"/>
        <v>3719.9999999999995</v>
      </c>
      <c r="H38" s="74">
        <f t="shared" si="14"/>
        <v>4309.9999999999991</v>
      </c>
      <c r="I38" s="74">
        <f t="shared" si="14"/>
        <v>5450</v>
      </c>
      <c r="J38" s="74">
        <f t="shared" si="14"/>
        <v>7030</v>
      </c>
      <c r="K38" s="74">
        <f t="shared" si="14"/>
        <v>8250</v>
      </c>
      <c r="L38" s="74">
        <f t="shared" si="14"/>
        <v>10710</v>
      </c>
      <c r="M38" s="74">
        <f t="shared" si="14"/>
        <v>13250</v>
      </c>
      <c r="N38" s="74">
        <f t="shared" si="14"/>
        <v>16030</v>
      </c>
      <c r="O38" s="74">
        <f t="shared" si="14"/>
        <v>21010</v>
      </c>
      <c r="P38" s="74">
        <f t="shared" si="14"/>
        <v>26300</v>
      </c>
      <c r="Q38" s="74">
        <f t="shared" ref="Q38:U38" si="15">Q31*1000/$M$14</f>
        <v>31270</v>
      </c>
      <c r="R38" s="74">
        <f t="shared" si="15"/>
        <v>34440</v>
      </c>
      <c r="S38" s="74">
        <f t="shared" si="15"/>
        <v>39379.999999999993</v>
      </c>
      <c r="T38" s="74">
        <f t="shared" si="15"/>
        <v>44459.999999999993</v>
      </c>
      <c r="U38" s="75">
        <f t="shared" si="15"/>
        <v>49540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</row>
    <row r="39" spans="1:752" s="24" customFormat="1" ht="15" customHeight="1" x14ac:dyDescent="0.3">
      <c r="A39" s="13"/>
      <c r="B39" s="61" t="s">
        <v>33</v>
      </c>
      <c r="C39" s="64"/>
      <c r="D39" s="63" t="s">
        <v>29</v>
      </c>
      <c r="E39" s="74">
        <f>IF(E36&lt;2320,1,0)</f>
        <v>0</v>
      </c>
      <c r="F39" s="74">
        <f t="shared" ref="F39:N39" si="16">IF(F36&lt;2320,1,0)</f>
        <v>0</v>
      </c>
      <c r="G39" s="74">
        <f t="shared" si="16"/>
        <v>0</v>
      </c>
      <c r="H39" s="74">
        <f t="shared" si="16"/>
        <v>0</v>
      </c>
      <c r="I39" s="74">
        <f t="shared" si="16"/>
        <v>0</v>
      </c>
      <c r="J39" s="74">
        <f t="shared" si="16"/>
        <v>0</v>
      </c>
      <c r="K39" s="74">
        <f t="shared" si="16"/>
        <v>0</v>
      </c>
      <c r="L39" s="74">
        <f t="shared" si="16"/>
        <v>0</v>
      </c>
      <c r="M39" s="74">
        <f t="shared" si="16"/>
        <v>0</v>
      </c>
      <c r="N39" s="74">
        <f t="shared" si="16"/>
        <v>0</v>
      </c>
      <c r="O39" s="74">
        <f t="shared" ref="O39:P39" si="17">IF(O36&lt;2320,1,0)</f>
        <v>0</v>
      </c>
      <c r="P39" s="74">
        <f t="shared" si="17"/>
        <v>0</v>
      </c>
      <c r="Q39" s="74">
        <f t="shared" ref="Q39:U39" si="18">IF(Q36&lt;2320,1,0)</f>
        <v>0</v>
      </c>
      <c r="R39" s="74">
        <f t="shared" si="18"/>
        <v>0</v>
      </c>
      <c r="S39" s="74">
        <f t="shared" si="18"/>
        <v>0</v>
      </c>
      <c r="T39" s="74">
        <f t="shared" si="18"/>
        <v>0</v>
      </c>
      <c r="U39" s="75">
        <f t="shared" si="18"/>
        <v>0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</row>
    <row r="40" spans="1:752" s="24" customFormat="1" ht="15" customHeight="1" x14ac:dyDescent="0.3">
      <c r="A40" s="13"/>
      <c r="B40" s="61" t="s">
        <v>34</v>
      </c>
      <c r="C40" s="64"/>
      <c r="D40" s="63" t="s">
        <v>29</v>
      </c>
      <c r="E40" s="74">
        <f>IF(E39=1,0,IF(E36&lt;E38*LOG10(0.1*E38),1,0))</f>
        <v>0</v>
      </c>
      <c r="F40" s="74">
        <f t="shared" ref="F40:N40" si="19">IF(F39=1,0,IF(F36&lt;F38*LOG10(0.1*F38),1,0))</f>
        <v>0</v>
      </c>
      <c r="G40" s="74">
        <f t="shared" si="19"/>
        <v>0</v>
      </c>
      <c r="H40" s="74">
        <f t="shared" si="19"/>
        <v>0</v>
      </c>
      <c r="I40" s="74">
        <f t="shared" si="19"/>
        <v>0</v>
      </c>
      <c r="J40" s="74">
        <f t="shared" si="19"/>
        <v>0</v>
      </c>
      <c r="K40" s="74">
        <f t="shared" si="19"/>
        <v>0</v>
      </c>
      <c r="L40" s="74">
        <f t="shared" si="19"/>
        <v>0</v>
      </c>
      <c r="M40" s="74">
        <f t="shared" si="19"/>
        <v>0</v>
      </c>
      <c r="N40" s="74">
        <f t="shared" si="19"/>
        <v>0</v>
      </c>
      <c r="O40" s="74">
        <f t="shared" ref="O40:P40" si="20">IF(O39=1,0,IF(O36&lt;O38*LOG10(0.1*O38),1,0))</f>
        <v>0</v>
      </c>
      <c r="P40" s="74">
        <f t="shared" si="20"/>
        <v>0</v>
      </c>
      <c r="Q40" s="74">
        <f t="shared" ref="Q40:U40" si="21">IF(Q39=1,0,IF(Q36&lt;Q38*LOG10(0.1*Q38),1,0))</f>
        <v>0</v>
      </c>
      <c r="R40" s="74">
        <f t="shared" si="21"/>
        <v>0</v>
      </c>
      <c r="S40" s="74">
        <f t="shared" si="21"/>
        <v>1</v>
      </c>
      <c r="T40" s="74">
        <f t="shared" si="21"/>
        <v>1</v>
      </c>
      <c r="U40" s="75">
        <f t="shared" si="21"/>
        <v>1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</row>
    <row r="41" spans="1:752" s="24" customFormat="1" ht="15" customHeight="1" x14ac:dyDescent="0.3">
      <c r="A41" s="13"/>
      <c r="B41" s="61" t="s">
        <v>36</v>
      </c>
      <c r="C41" s="64"/>
      <c r="D41" s="63" t="s">
        <v>29</v>
      </c>
      <c r="E41" s="74">
        <f>IF(OR(E40=1,E39=1),0,IF(E36&lt;400*E38*LOG10(3.715*E38),1,0))</f>
        <v>1</v>
      </c>
      <c r="F41" s="74">
        <f t="shared" ref="F41:N41" si="22">IF(OR(F40=1,F39=1),0,IF(F36&lt;400*F38*LOG10(3.715*F38),1,0))</f>
        <v>1</v>
      </c>
      <c r="G41" s="74">
        <f t="shared" si="22"/>
        <v>1</v>
      </c>
      <c r="H41" s="74">
        <f t="shared" si="22"/>
        <v>1</v>
      </c>
      <c r="I41" s="74">
        <f t="shared" si="22"/>
        <v>1</v>
      </c>
      <c r="J41" s="74">
        <f t="shared" si="22"/>
        <v>1</v>
      </c>
      <c r="K41" s="74">
        <f t="shared" si="22"/>
        <v>1</v>
      </c>
      <c r="L41" s="74">
        <f t="shared" si="22"/>
        <v>1</v>
      </c>
      <c r="M41" s="74">
        <f t="shared" si="22"/>
        <v>1</v>
      </c>
      <c r="N41" s="74">
        <f t="shared" si="22"/>
        <v>1</v>
      </c>
      <c r="O41" s="74">
        <f t="shared" ref="O41:P41" si="23">IF(OR(O40=1,O39=1),0,IF(O36&lt;400*O38*LOG10(3.715*O38),1,0))</f>
        <v>1</v>
      </c>
      <c r="P41" s="74">
        <f t="shared" si="23"/>
        <v>1</v>
      </c>
      <c r="Q41" s="74">
        <f t="shared" ref="Q41:U41" si="24">IF(OR(Q40=1,Q39=1),0,IF(Q36&lt;400*Q38*LOG10(3.715*Q38),1,0))</f>
        <v>1</v>
      </c>
      <c r="R41" s="74">
        <f t="shared" si="24"/>
        <v>1</v>
      </c>
      <c r="S41" s="74">
        <f t="shared" si="24"/>
        <v>0</v>
      </c>
      <c r="T41" s="74">
        <f t="shared" si="24"/>
        <v>0</v>
      </c>
      <c r="U41" s="75">
        <f t="shared" si="24"/>
        <v>0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</row>
    <row r="42" spans="1:752" s="24" customFormat="1" ht="15" customHeight="1" x14ac:dyDescent="0.3">
      <c r="A42" s="13"/>
      <c r="B42" s="61" t="s">
        <v>37</v>
      </c>
      <c r="C42" s="64"/>
      <c r="D42" s="63" t="s">
        <v>29</v>
      </c>
      <c r="E42" s="74">
        <f>IF(OR(E41=1,E40=1,E39=1),0,1)</f>
        <v>0</v>
      </c>
      <c r="F42" s="74">
        <f t="shared" ref="F42:N42" si="25">IF(OR(F41=1,F40=1,F39=1),0,1)</f>
        <v>0</v>
      </c>
      <c r="G42" s="74">
        <f t="shared" si="25"/>
        <v>0</v>
      </c>
      <c r="H42" s="74">
        <f t="shared" si="25"/>
        <v>0</v>
      </c>
      <c r="I42" s="74">
        <f t="shared" si="25"/>
        <v>0</v>
      </c>
      <c r="J42" s="74">
        <f t="shared" si="25"/>
        <v>0</v>
      </c>
      <c r="K42" s="74">
        <f t="shared" si="25"/>
        <v>0</v>
      </c>
      <c r="L42" s="74">
        <f t="shared" si="25"/>
        <v>0</v>
      </c>
      <c r="M42" s="74">
        <f t="shared" si="25"/>
        <v>0</v>
      </c>
      <c r="N42" s="74">
        <f t="shared" si="25"/>
        <v>0</v>
      </c>
      <c r="O42" s="74">
        <f t="shared" ref="O42:P42" si="26">IF(OR(O41=1,O40=1,O39=1),0,1)</f>
        <v>0</v>
      </c>
      <c r="P42" s="74">
        <f t="shared" si="26"/>
        <v>0</v>
      </c>
      <c r="Q42" s="74">
        <f t="shared" ref="Q42:U42" si="27">IF(OR(Q41=1,Q40=1,Q39=1),0,1)</f>
        <v>0</v>
      </c>
      <c r="R42" s="74">
        <f t="shared" si="27"/>
        <v>0</v>
      </c>
      <c r="S42" s="74">
        <f t="shared" si="27"/>
        <v>0</v>
      </c>
      <c r="T42" s="74">
        <f t="shared" si="27"/>
        <v>0</v>
      </c>
      <c r="U42" s="75">
        <f t="shared" si="27"/>
        <v>0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</row>
    <row r="43" spans="1:752" s="24" customFormat="1" ht="15" customHeight="1" x14ac:dyDescent="0.3">
      <c r="A43" s="13"/>
      <c r="B43" s="61" t="s">
        <v>38</v>
      </c>
      <c r="C43" s="64"/>
      <c r="D43" s="63" t="s">
        <v>35</v>
      </c>
      <c r="E43" s="85">
        <f>64/E36</f>
        <v>3.065085177410743E-5</v>
      </c>
      <c r="F43" s="85">
        <f t="shared" ref="F43:N43" si="28">64/F36</f>
        <v>4.0442096090836199E-5</v>
      </c>
      <c r="G43" s="85">
        <f t="shared" si="28"/>
        <v>5.2787578055407219E-5</v>
      </c>
      <c r="H43" s="85">
        <f t="shared" si="28"/>
        <v>6.1159801456668055E-5</v>
      </c>
      <c r="I43" s="85">
        <f t="shared" si="28"/>
        <v>7.7336639893002537E-5</v>
      </c>
      <c r="J43" s="85">
        <f t="shared" si="28"/>
        <v>9.9757170357395956E-5</v>
      </c>
      <c r="K43" s="85">
        <f t="shared" si="28"/>
        <v>1.1706922552610478E-4</v>
      </c>
      <c r="L43" s="85">
        <f t="shared" si="28"/>
        <v>1.5197714004661601E-4</v>
      </c>
      <c r="M43" s="85">
        <f t="shared" si="28"/>
        <v>1.8802027129950161E-4</v>
      </c>
      <c r="N43" s="85">
        <f t="shared" si="28"/>
        <v>2.2746905274951022E-4</v>
      </c>
      <c r="O43" s="85">
        <f t="shared" ref="O43:P43" si="29">64/O36</f>
        <v>2.9813629433981349E-4</v>
      </c>
      <c r="P43" s="85">
        <f t="shared" si="29"/>
        <v>3.7320250076806736E-4</v>
      </c>
      <c r="Q43" s="85">
        <f t="shared" ref="Q43:U43" si="30">64/Q36</f>
        <v>4.4372784026682372E-4</v>
      </c>
      <c r="R43" s="85">
        <f t="shared" si="30"/>
        <v>4.8871080328715744E-4</v>
      </c>
      <c r="S43" s="85">
        <f t="shared" si="30"/>
        <v>5.5881043651127328E-4</v>
      </c>
      <c r="T43" s="85">
        <f t="shared" si="30"/>
        <v>6.3089669901704448E-4</v>
      </c>
      <c r="U43" s="86">
        <f t="shared" si="30"/>
        <v>7.0298296152281569E-4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</row>
    <row r="44" spans="1:752" s="24" customFormat="1" ht="15" customHeight="1" x14ac:dyDescent="0.3">
      <c r="A44" s="13"/>
      <c r="B44" s="61" t="s">
        <v>39</v>
      </c>
      <c r="C44" s="64"/>
      <c r="D44" s="63" t="s">
        <v>35</v>
      </c>
      <c r="E44" s="85">
        <f>0.309/(LOG10(E36/7))^2</f>
        <v>1.0309733623056427E-2</v>
      </c>
      <c r="F44" s="85">
        <f t="shared" ref="F44:N44" si="31">0.309/(LOG10(F36/7))^2</f>
        <v>1.0778577983202437E-2</v>
      </c>
      <c r="G44" s="85">
        <f t="shared" si="31"/>
        <v>1.1259944757147949E-2</v>
      </c>
      <c r="H44" s="85">
        <f t="shared" si="31"/>
        <v>1.1539905374610129E-2</v>
      </c>
      <c r="I44" s="85">
        <f t="shared" si="31"/>
        <v>1.2008277013711231E-2</v>
      </c>
      <c r="J44" s="85">
        <f t="shared" si="31"/>
        <v>1.2549338563487675E-2</v>
      </c>
      <c r="K44" s="85">
        <f t="shared" si="31"/>
        <v>1.2908390655443566E-2</v>
      </c>
      <c r="L44" s="85">
        <f t="shared" si="31"/>
        <v>1.352786399674346E-2</v>
      </c>
      <c r="M44" s="85">
        <f t="shared" si="31"/>
        <v>1.4066670639412091E-2</v>
      </c>
      <c r="N44" s="85">
        <f t="shared" si="31"/>
        <v>1.4576650372013477E-2</v>
      </c>
      <c r="O44" s="85">
        <f t="shared" ref="O44:P44" si="32">0.309/(LOG10(O36/7))^2</f>
        <v>1.5350085121560842E-2</v>
      </c>
      <c r="P44" s="85">
        <f t="shared" si="32"/>
        <v>1.6039843579970726E-2</v>
      </c>
      <c r="Q44" s="85">
        <f t="shared" ref="Q44:U44" si="33">0.309/(LOG10(Q36/7))^2</f>
        <v>1.6603712062505466E-2</v>
      </c>
      <c r="R44" s="85">
        <f t="shared" si="33"/>
        <v>1.6931283937549869E-2</v>
      </c>
      <c r="S44" s="85">
        <f t="shared" si="33"/>
        <v>1.7402315976146106E-2</v>
      </c>
      <c r="T44" s="85">
        <f t="shared" si="33"/>
        <v>1.7845849694361232E-2</v>
      </c>
      <c r="U44" s="86">
        <f t="shared" si="33"/>
        <v>1.8255803474406036E-2</v>
      </c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</row>
    <row r="45" spans="1:752" s="24" customFormat="1" ht="15" customHeight="1" x14ac:dyDescent="0.3">
      <c r="A45" s="13"/>
      <c r="B45" s="61" t="s">
        <v>40</v>
      </c>
      <c r="C45" s="64"/>
      <c r="D45" s="63" t="s">
        <v>35</v>
      </c>
      <c r="E45" s="85">
        <f>0.25/(LOG10(15/E36+1/(3.75*E38)))^2</f>
        <v>1.6572920026662438E-2</v>
      </c>
      <c r="F45" s="85">
        <f t="shared" ref="F45:N45" si="34">0.25/(LOG10(15/F36+1/(3.75*F38)))^2</f>
        <v>1.5727301030699858E-2</v>
      </c>
      <c r="G45" s="85">
        <f t="shared" si="34"/>
        <v>1.5051979025092262E-2</v>
      </c>
      <c r="H45" s="85">
        <f t="shared" si="34"/>
        <v>1.4742290769669118E-2</v>
      </c>
      <c r="I45" s="85">
        <f t="shared" si="34"/>
        <v>1.4352430044009335E-2</v>
      </c>
      <c r="J45" s="85">
        <f t="shared" si="34"/>
        <v>1.408871533313927E-2</v>
      </c>
      <c r="K45" s="85">
        <f t="shared" si="34"/>
        <v>1.40145324872824E-2</v>
      </c>
      <c r="L45" s="85">
        <f t="shared" si="34"/>
        <v>1.4050889317339599E-2</v>
      </c>
      <c r="M45" s="85">
        <f t="shared" si="34"/>
        <v>1.4223005053920041E-2</v>
      </c>
      <c r="N45" s="85">
        <f t="shared" si="34"/>
        <v>1.4479436970788146E-2</v>
      </c>
      <c r="O45" s="85">
        <f t="shared" ref="O45:P45" si="35">0.25/(LOG10(15/O36+1/(3.75*O38)))^2</f>
        <v>1.4994820666954827E-2</v>
      </c>
      <c r="P45" s="85">
        <f t="shared" si="35"/>
        <v>1.554320353525041E-2</v>
      </c>
      <c r="Q45" s="85">
        <f t="shared" ref="Q45:U45" si="36">0.25/(LOG10(15/Q36+1/(3.75*Q38)))^2</f>
        <v>1.6033261054282405E-2</v>
      </c>
      <c r="R45" s="85">
        <f t="shared" si="36"/>
        <v>1.6330624164580629E-2</v>
      </c>
      <c r="S45" s="85">
        <f t="shared" si="36"/>
        <v>1.677088278082197E-2</v>
      </c>
      <c r="T45" s="85">
        <f t="shared" si="36"/>
        <v>1.7196410880722556E-2</v>
      </c>
      <c r="U45" s="86">
        <f t="shared" si="36"/>
        <v>1.7597288924529157E-2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</row>
    <row r="46" spans="1:752" s="24" customFormat="1" ht="15" customHeight="1" x14ac:dyDescent="0.3">
      <c r="A46" s="13"/>
      <c r="B46" s="61" t="s">
        <v>41</v>
      </c>
      <c r="C46" s="64"/>
      <c r="D46" s="63" t="s">
        <v>35</v>
      </c>
      <c r="E46" s="85">
        <f>0.25/(((LOG10(3.715*E38)))^2)</f>
        <v>1.6399424368480513E-2</v>
      </c>
      <c r="F46" s="85">
        <f t="shared" ref="F46:P46" si="37">0.25/(((LOG10(3.715*F38)))^2)</f>
        <v>1.5433008886844974E-2</v>
      </c>
      <c r="G46" s="85">
        <f t="shared" si="37"/>
        <v>1.4582569734718838E-2</v>
      </c>
      <c r="H46" s="85">
        <f t="shared" si="37"/>
        <v>1.4142444998037199E-2</v>
      </c>
      <c r="I46" s="85">
        <f t="shared" si="37"/>
        <v>1.3480943448257452E-2</v>
      </c>
      <c r="J46" s="85">
        <f t="shared" si="37"/>
        <v>1.2814512640080843E-2</v>
      </c>
      <c r="K46" s="85">
        <f t="shared" si="37"/>
        <v>1.2420570752646102E-2</v>
      </c>
      <c r="L46" s="85">
        <f t="shared" si="37"/>
        <v>1.1816037908550927E-2</v>
      </c>
      <c r="M46" s="85">
        <f t="shared" si="37"/>
        <v>1.135511827972259E-2</v>
      </c>
      <c r="N46" s="85">
        <f t="shared" si="37"/>
        <v>1.0965106159699638E-2</v>
      </c>
      <c r="O46" s="85">
        <f t="shared" si="37"/>
        <v>1.0444767564769617E-2</v>
      </c>
      <c r="P46" s="85">
        <f t="shared" si="37"/>
        <v>1.0040464121916738E-2</v>
      </c>
      <c r="Q46" s="85">
        <f t="shared" ref="Q46:U46" si="38">0.25/(((LOG10(3.715*Q38)))^2)</f>
        <v>9.7446499182306523E-3</v>
      </c>
      <c r="R46" s="85">
        <f t="shared" si="38"/>
        <v>9.5852745734210446E-3</v>
      </c>
      <c r="S46" s="85">
        <f t="shared" si="38"/>
        <v>9.370438558758824E-3</v>
      </c>
      <c r="T46" s="85">
        <f t="shared" si="38"/>
        <v>9.1821376356457374E-3</v>
      </c>
      <c r="U46" s="86">
        <f t="shared" si="38"/>
        <v>9.0189776393290368E-3</v>
      </c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</row>
    <row r="47" spans="1:752" s="24" customFormat="1" ht="15" customHeight="1" x14ac:dyDescent="0.3">
      <c r="A47" s="13"/>
      <c r="B47" s="61" t="s">
        <v>42</v>
      </c>
      <c r="C47" s="64"/>
      <c r="D47" s="63" t="s">
        <v>35</v>
      </c>
      <c r="E47" s="85">
        <f>E39*E43+E40*E44+E41*E45+E42*E46</f>
        <v>1.6572920026662438E-2</v>
      </c>
      <c r="F47" s="85">
        <f t="shared" ref="F47:N47" si="39">F39*F43+F40*F44+F41*F45+F42*F46</f>
        <v>1.5727301030699858E-2</v>
      </c>
      <c r="G47" s="85">
        <f t="shared" si="39"/>
        <v>1.5051979025092262E-2</v>
      </c>
      <c r="H47" s="85">
        <f t="shared" si="39"/>
        <v>1.4742290769669118E-2</v>
      </c>
      <c r="I47" s="85">
        <f t="shared" si="39"/>
        <v>1.4352430044009335E-2</v>
      </c>
      <c r="J47" s="85">
        <f t="shared" si="39"/>
        <v>1.408871533313927E-2</v>
      </c>
      <c r="K47" s="85">
        <f t="shared" si="39"/>
        <v>1.40145324872824E-2</v>
      </c>
      <c r="L47" s="85">
        <f t="shared" si="39"/>
        <v>1.4050889317339599E-2</v>
      </c>
      <c r="M47" s="85">
        <f t="shared" si="39"/>
        <v>1.4223005053920041E-2</v>
      </c>
      <c r="N47" s="85">
        <f t="shared" si="39"/>
        <v>1.4479436970788146E-2</v>
      </c>
      <c r="O47" s="85">
        <f t="shared" ref="O47:P47" si="40">O39*O43+O40*O44+O41*O45+O42*O46</f>
        <v>1.4994820666954827E-2</v>
      </c>
      <c r="P47" s="85">
        <f t="shared" si="40"/>
        <v>1.554320353525041E-2</v>
      </c>
      <c r="Q47" s="85">
        <f t="shared" ref="Q47:U47" si="41">Q39*Q43+Q40*Q44+Q41*Q45+Q42*Q46</f>
        <v>1.6033261054282405E-2</v>
      </c>
      <c r="R47" s="85">
        <f t="shared" si="41"/>
        <v>1.6330624164580629E-2</v>
      </c>
      <c r="S47" s="85">
        <f t="shared" si="41"/>
        <v>1.7402315976146106E-2</v>
      </c>
      <c r="T47" s="85">
        <f t="shared" si="41"/>
        <v>1.7845849694361232E-2</v>
      </c>
      <c r="U47" s="86">
        <f t="shared" si="41"/>
        <v>1.8255803474406036E-2</v>
      </c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</row>
    <row r="48" spans="1:752" s="24" customFormat="1" ht="15" customHeight="1" x14ac:dyDescent="0.3">
      <c r="A48" s="13"/>
      <c r="B48" s="191" t="s">
        <v>100</v>
      </c>
      <c r="C48" s="192"/>
      <c r="D48" s="193" t="s">
        <v>43</v>
      </c>
      <c r="E48" s="194">
        <f>E49*10^6/(2*$C$18)</f>
        <v>791758.69041544315</v>
      </c>
      <c r="F48" s="194">
        <f t="shared" ref="F48:U48" si="42">F49*10^6/(2*$C$18)</f>
        <v>187885.15159299341</v>
      </c>
      <c r="G48" s="194">
        <f t="shared" si="42"/>
        <v>47461.500577989602</v>
      </c>
      <c r="H48" s="194">
        <f t="shared" si="42"/>
        <v>22265.947564158861</v>
      </c>
      <c r="I48" s="194">
        <f t="shared" si="42"/>
        <v>6705.1035209426955</v>
      </c>
      <c r="J48" s="194">
        <f t="shared" si="42"/>
        <v>1843.1357762401576</v>
      </c>
      <c r="K48" s="194">
        <f t="shared" si="42"/>
        <v>823.70448734681167</v>
      </c>
      <c r="L48" s="194">
        <f t="shared" si="42"/>
        <v>223.9850430457586</v>
      </c>
      <c r="M48" s="194">
        <f t="shared" si="42"/>
        <v>78.230216657237833</v>
      </c>
      <c r="N48" s="194">
        <f t="shared" si="42"/>
        <v>30.72887232622778</v>
      </c>
      <c r="O48" s="194">
        <f t="shared" si="42"/>
        <v>8.2276076650216705</v>
      </c>
      <c r="P48" s="194">
        <f t="shared" si="42"/>
        <v>2.7747531405952408</v>
      </c>
      <c r="Q48" s="194">
        <f t="shared" si="42"/>
        <v>1.2046059878775539</v>
      </c>
      <c r="R48" s="194">
        <f t="shared" si="42"/>
        <v>0.75709369619054578</v>
      </c>
      <c r="S48" s="194">
        <f t="shared" si="42"/>
        <v>0.41275377213534464</v>
      </c>
      <c r="T48" s="194">
        <f t="shared" si="42"/>
        <v>0.23075573268864277</v>
      </c>
      <c r="U48" s="195">
        <f t="shared" si="42"/>
        <v>0.1374306183823778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</row>
    <row r="49" spans="1:752" s="24" customFormat="1" ht="15" customHeight="1" x14ac:dyDescent="0.3">
      <c r="A49" s="13"/>
      <c r="B49" s="61" t="s">
        <v>47</v>
      </c>
      <c r="C49" s="64"/>
      <c r="D49" s="63" t="s">
        <v>83</v>
      </c>
      <c r="E49" s="189">
        <f t="shared" ref="E49:P49" si="43">E47*E37*983*E33^2/(2)/10^6</f>
        <v>1583.5173808308864</v>
      </c>
      <c r="F49" s="189">
        <f t="shared" si="43"/>
        <v>375.77030318598679</v>
      </c>
      <c r="G49" s="189">
        <f t="shared" si="43"/>
        <v>94.923001155979208</v>
      </c>
      <c r="H49" s="189">
        <f t="shared" si="43"/>
        <v>44.531895128317721</v>
      </c>
      <c r="I49" s="189">
        <f t="shared" si="43"/>
        <v>13.410207041885391</v>
      </c>
      <c r="J49" s="189">
        <f t="shared" si="43"/>
        <v>3.6862715524803153</v>
      </c>
      <c r="K49" s="189">
        <f t="shared" si="43"/>
        <v>1.6474089746936234</v>
      </c>
      <c r="L49" s="189">
        <f t="shared" si="43"/>
        <v>0.44797008609151717</v>
      </c>
      <c r="M49" s="189">
        <f t="shared" si="43"/>
        <v>0.15646043331447568</v>
      </c>
      <c r="N49" s="189">
        <f t="shared" si="43"/>
        <v>6.1457744652455557E-2</v>
      </c>
      <c r="O49" s="189">
        <f t="shared" si="43"/>
        <v>1.6455215330043342E-2</v>
      </c>
      <c r="P49" s="189">
        <f t="shared" si="43"/>
        <v>5.5495062811904815E-3</v>
      </c>
      <c r="Q49" s="189">
        <f t="shared" ref="Q49:U49" si="44">Q47*Q37*983*Q33^2/(2)/10^6</f>
        <v>2.4092119757551079E-3</v>
      </c>
      <c r="R49" s="189">
        <f t="shared" si="44"/>
        <v>1.5141873923810915E-3</v>
      </c>
      <c r="S49" s="189">
        <f t="shared" si="44"/>
        <v>8.2550754427068935E-4</v>
      </c>
      <c r="T49" s="189">
        <f t="shared" si="44"/>
        <v>4.6151146537728554E-4</v>
      </c>
      <c r="U49" s="190">
        <f t="shared" si="44"/>
        <v>2.7486123676475558E-4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</row>
    <row r="50" spans="1:752" s="24" customFormat="1" ht="15" customHeight="1" x14ac:dyDescent="0.3">
      <c r="A50" s="13"/>
      <c r="B50" s="61" t="s">
        <v>48</v>
      </c>
      <c r="C50" s="64"/>
      <c r="D50" s="63" t="s">
        <v>83</v>
      </c>
      <c r="E50" s="87">
        <f>$M$13*983*E33^2/2/10^6</f>
        <v>0</v>
      </c>
      <c r="F50" s="87">
        <f t="shared" ref="F50:P50" si="45">$M$13*983*F33^2/2/10^6</f>
        <v>0</v>
      </c>
      <c r="G50" s="87">
        <f t="shared" si="45"/>
        <v>0</v>
      </c>
      <c r="H50" s="87">
        <f t="shared" si="45"/>
        <v>0</v>
      </c>
      <c r="I50" s="87">
        <f t="shared" si="45"/>
        <v>0</v>
      </c>
      <c r="J50" s="87">
        <f t="shared" si="45"/>
        <v>0</v>
      </c>
      <c r="K50" s="87">
        <f t="shared" si="45"/>
        <v>0</v>
      </c>
      <c r="L50" s="87">
        <f t="shared" si="45"/>
        <v>0</v>
      </c>
      <c r="M50" s="87">
        <f t="shared" si="45"/>
        <v>0</v>
      </c>
      <c r="N50" s="87">
        <f t="shared" si="45"/>
        <v>0</v>
      </c>
      <c r="O50" s="87">
        <f t="shared" si="45"/>
        <v>0</v>
      </c>
      <c r="P50" s="87">
        <f t="shared" si="45"/>
        <v>0</v>
      </c>
      <c r="Q50" s="87">
        <f t="shared" ref="Q50:U50" si="46">$M$13*983*Q33^2/2/10^6</f>
        <v>0</v>
      </c>
      <c r="R50" s="87">
        <f t="shared" si="46"/>
        <v>0</v>
      </c>
      <c r="S50" s="87">
        <f t="shared" si="46"/>
        <v>0</v>
      </c>
      <c r="T50" s="87">
        <f t="shared" si="46"/>
        <v>0</v>
      </c>
      <c r="U50" s="88">
        <f t="shared" si="46"/>
        <v>0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</row>
    <row r="51" spans="1:752" s="24" customFormat="1" ht="15" customHeight="1" x14ac:dyDescent="0.3">
      <c r="A51" s="13"/>
      <c r="B51" s="61" t="s">
        <v>79</v>
      </c>
      <c r="C51" s="64"/>
      <c r="D51" s="63" t="s">
        <v>83</v>
      </c>
      <c r="E51" s="74">
        <f t="shared" ref="E51:U51" si="47">$M$15/10</f>
        <v>0.08</v>
      </c>
      <c r="F51" s="74">
        <f t="shared" si="47"/>
        <v>0.08</v>
      </c>
      <c r="G51" s="74">
        <f t="shared" si="47"/>
        <v>0.08</v>
      </c>
      <c r="H51" s="74">
        <f t="shared" si="47"/>
        <v>0.08</v>
      </c>
      <c r="I51" s="74">
        <f t="shared" si="47"/>
        <v>0.08</v>
      </c>
      <c r="J51" s="74">
        <f t="shared" si="47"/>
        <v>0.08</v>
      </c>
      <c r="K51" s="74">
        <f t="shared" si="47"/>
        <v>0.08</v>
      </c>
      <c r="L51" s="74">
        <f t="shared" si="47"/>
        <v>0.08</v>
      </c>
      <c r="M51" s="74">
        <f t="shared" si="47"/>
        <v>0.08</v>
      </c>
      <c r="N51" s="74">
        <f t="shared" si="47"/>
        <v>0.08</v>
      </c>
      <c r="O51" s="74">
        <f t="shared" si="47"/>
        <v>0.08</v>
      </c>
      <c r="P51" s="74">
        <f t="shared" si="47"/>
        <v>0.08</v>
      </c>
      <c r="Q51" s="74">
        <f t="shared" si="47"/>
        <v>0.08</v>
      </c>
      <c r="R51" s="74">
        <f t="shared" si="47"/>
        <v>0.08</v>
      </c>
      <c r="S51" s="74">
        <f t="shared" si="47"/>
        <v>0.08</v>
      </c>
      <c r="T51" s="74">
        <f t="shared" si="47"/>
        <v>0.08</v>
      </c>
      <c r="U51" s="75">
        <f t="shared" si="47"/>
        <v>0.08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</row>
    <row r="52" spans="1:752" s="24" customFormat="1" ht="15" customHeight="1" x14ac:dyDescent="0.3">
      <c r="A52" s="13"/>
      <c r="B52" s="37" t="s">
        <v>49</v>
      </c>
      <c r="C52" s="89"/>
      <c r="D52" s="90" t="s">
        <v>83</v>
      </c>
      <c r="E52" s="106">
        <f>SUM(E49:E51)</f>
        <v>1583.5973808308863</v>
      </c>
      <c r="F52" s="106">
        <f t="shared" ref="F52:P52" si="48">SUM(F49:F51)</f>
        <v>375.85030318598677</v>
      </c>
      <c r="G52" s="106">
        <f t="shared" si="48"/>
        <v>95.003001155979206</v>
      </c>
      <c r="H52" s="106">
        <f t="shared" si="48"/>
        <v>44.61189512831772</v>
      </c>
      <c r="I52" s="106">
        <f t="shared" si="48"/>
        <v>13.490207041885391</v>
      </c>
      <c r="J52" s="106">
        <f t="shared" si="48"/>
        <v>3.7662715524803154</v>
      </c>
      <c r="K52" s="106">
        <f t="shared" si="48"/>
        <v>1.7274089746936234</v>
      </c>
      <c r="L52" s="106">
        <f t="shared" si="48"/>
        <v>0.52797008609151719</v>
      </c>
      <c r="M52" s="106">
        <f t="shared" si="48"/>
        <v>0.23646043331447569</v>
      </c>
      <c r="N52" s="106">
        <f t="shared" si="48"/>
        <v>0.14145774465245556</v>
      </c>
      <c r="O52" s="106">
        <f t="shared" si="48"/>
        <v>9.6455215330043337E-2</v>
      </c>
      <c r="P52" s="106">
        <f t="shared" si="48"/>
        <v>8.5549506281190485E-2</v>
      </c>
      <c r="Q52" s="106">
        <f t="shared" ref="Q52:U52" si="49">SUM(Q49:Q51)</f>
        <v>8.2409211975755112E-2</v>
      </c>
      <c r="R52" s="106">
        <f t="shared" si="49"/>
        <v>8.1514187392381088E-2</v>
      </c>
      <c r="S52" s="106">
        <f t="shared" si="49"/>
        <v>8.0825507544270689E-2</v>
      </c>
      <c r="T52" s="106">
        <f t="shared" si="49"/>
        <v>8.0461511465377292E-2</v>
      </c>
      <c r="U52" s="107">
        <f t="shared" si="49"/>
        <v>8.0274861236764763E-2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</row>
    <row r="53" spans="1:752" s="24" customFormat="1" ht="1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</row>
    <row r="54" spans="1:752" s="24" customFormat="1" ht="15" customHeight="1" x14ac:dyDescent="0.3">
      <c r="A54" s="13"/>
      <c r="B54" s="93" t="s">
        <v>24</v>
      </c>
      <c r="C54" s="94"/>
      <c r="D54" s="94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6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</row>
    <row r="55" spans="1:752" s="24" customFormat="1" ht="15" customHeight="1" x14ac:dyDescent="0.3">
      <c r="A55" s="13"/>
      <c r="B55" s="59" t="s">
        <v>110</v>
      </c>
      <c r="C55" s="95"/>
      <c r="D55" s="96" t="s">
        <v>107</v>
      </c>
      <c r="E55" s="139">
        <v>845.08640000000003</v>
      </c>
      <c r="F55" s="140">
        <v>884.66540000000009</v>
      </c>
      <c r="G55" s="140">
        <v>977.18979999999999</v>
      </c>
      <c r="H55" s="140">
        <v>1104.8480000000002</v>
      </c>
      <c r="I55" s="140">
        <v>1207.49</v>
      </c>
      <c r="J55" s="140">
        <v>1297.9354000000008</v>
      </c>
      <c r="K55" s="140">
        <v>1411.9405999999983</v>
      </c>
      <c r="L55" s="140">
        <v>1590.7627999999977</v>
      </c>
      <c r="M55" s="140">
        <v>1868.0439999999978</v>
      </c>
      <c r="N55" s="140">
        <v>2261.0149999999999</v>
      </c>
      <c r="O55" s="140">
        <v>2766.019400000006</v>
      </c>
      <c r="P55" s="140">
        <v>3358.3575999999962</v>
      </c>
      <c r="Q55" s="140">
        <v>3996.450800000006</v>
      </c>
      <c r="R55" s="140">
        <v>4630.3249999999853</v>
      </c>
      <c r="S55" s="140">
        <v>5214.415</v>
      </c>
      <c r="T55" s="140">
        <v>5724.6884000000009</v>
      </c>
      <c r="U55" s="141">
        <v>6180.089599999932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  <c r="XW55" s="13"/>
      <c r="XX55" s="13"/>
      <c r="XY55" s="13"/>
      <c r="XZ55" s="13"/>
      <c r="YA55" s="13"/>
      <c r="YB55" s="13"/>
      <c r="YC55" s="13"/>
      <c r="YD55" s="13"/>
      <c r="YE55" s="13"/>
      <c r="YF55" s="13"/>
      <c r="YG55" s="13"/>
      <c r="YH55" s="13"/>
      <c r="YI55" s="13"/>
      <c r="YJ55" s="13"/>
      <c r="YK55" s="13"/>
      <c r="YL55" s="13"/>
      <c r="YM55" s="13"/>
      <c r="YN55" s="13"/>
      <c r="YO55" s="13"/>
      <c r="YP55" s="13"/>
      <c r="YQ55" s="13"/>
      <c r="YR55" s="13"/>
      <c r="YS55" s="13"/>
      <c r="YT55" s="13"/>
      <c r="YU55" s="13"/>
      <c r="YV55" s="13"/>
      <c r="YW55" s="13"/>
      <c r="YX55" s="13"/>
      <c r="YY55" s="13"/>
      <c r="YZ55" s="13"/>
      <c r="ZA55" s="13"/>
      <c r="ZB55" s="13"/>
      <c r="ZC55" s="13"/>
      <c r="ZD55" s="13"/>
      <c r="ZE55" s="13"/>
      <c r="ZF55" s="13"/>
      <c r="ZG55" s="13"/>
      <c r="ZH55" s="13"/>
      <c r="ZI55" s="13"/>
      <c r="ZJ55" s="13"/>
      <c r="ZK55" s="13"/>
      <c r="ZL55" s="13"/>
      <c r="ZM55" s="13"/>
      <c r="ZN55" s="13"/>
      <c r="ZO55" s="13"/>
      <c r="ZP55" s="13"/>
      <c r="ZQ55" s="13"/>
      <c r="ZR55" s="13"/>
      <c r="ZS55" s="13"/>
      <c r="ZT55" s="13"/>
      <c r="ZU55" s="13"/>
      <c r="ZV55" s="13"/>
      <c r="ZW55" s="13"/>
      <c r="ZX55" s="13"/>
      <c r="ZY55" s="13"/>
      <c r="ZZ55" s="13"/>
      <c r="AAA55" s="13"/>
      <c r="AAB55" s="13"/>
      <c r="AAC55" s="13"/>
      <c r="AAD55" s="13"/>
      <c r="AAE55" s="13"/>
      <c r="AAF55" s="13"/>
      <c r="AAG55" s="13"/>
      <c r="AAH55" s="13"/>
      <c r="AAI55" s="13"/>
      <c r="AAJ55" s="13"/>
      <c r="AAK55" s="13"/>
      <c r="AAL55" s="13"/>
      <c r="AAM55" s="13"/>
      <c r="AAN55" s="13"/>
      <c r="AAO55" s="13"/>
      <c r="AAP55" s="13"/>
      <c r="AAQ55" s="13"/>
      <c r="AAR55" s="13"/>
      <c r="AAS55" s="13"/>
      <c r="AAT55" s="13"/>
      <c r="AAU55" s="13"/>
      <c r="AAV55" s="13"/>
      <c r="AAW55" s="13"/>
      <c r="AAX55" s="13"/>
      <c r="AAY55" s="13"/>
      <c r="AAZ55" s="13"/>
      <c r="ABA55" s="13"/>
      <c r="ABB55" s="13"/>
      <c r="ABC55" s="13"/>
      <c r="ABD55" s="13"/>
      <c r="ABE55" s="13"/>
      <c r="ABF55" s="13"/>
      <c r="ABG55" s="13"/>
      <c r="ABH55" s="13"/>
      <c r="ABI55" s="13"/>
      <c r="ABJ55" s="13"/>
      <c r="ABK55" s="13"/>
      <c r="ABL55" s="13"/>
      <c r="ABM55" s="13"/>
      <c r="ABN55" s="13"/>
      <c r="ABO55" s="13"/>
      <c r="ABP55" s="13"/>
      <c r="ABQ55" s="13"/>
      <c r="ABR55" s="13"/>
      <c r="ABS55" s="13"/>
      <c r="ABT55" s="13"/>
      <c r="ABU55" s="13"/>
      <c r="ABV55" s="13"/>
      <c r="ABW55" s="13"/>
      <c r="ABX55" s="13"/>
    </row>
    <row r="56" spans="1:752" s="24" customFormat="1" ht="15" customHeight="1" x14ac:dyDescent="0.3">
      <c r="A56" s="13"/>
      <c r="B56" s="31" t="s">
        <v>6</v>
      </c>
      <c r="C56" s="42"/>
      <c r="D56" s="102" t="s">
        <v>108</v>
      </c>
      <c r="E56" s="147">
        <f>$C18*E55</f>
        <v>845086.4</v>
      </c>
      <c r="F56" s="148">
        <f t="shared" ref="F56:U56" si="50">$C18*F55</f>
        <v>884665.40000000014</v>
      </c>
      <c r="G56" s="148">
        <f t="shared" si="50"/>
        <v>977189.8</v>
      </c>
      <c r="H56" s="148">
        <f t="shared" si="50"/>
        <v>1104848.0000000002</v>
      </c>
      <c r="I56" s="148">
        <f t="shared" si="50"/>
        <v>1207490</v>
      </c>
      <c r="J56" s="148">
        <f t="shared" si="50"/>
        <v>1297935.4000000008</v>
      </c>
      <c r="K56" s="148">
        <f t="shared" si="50"/>
        <v>1411940.5999999982</v>
      </c>
      <c r="L56" s="148">
        <f t="shared" si="50"/>
        <v>1590762.7999999977</v>
      </c>
      <c r="M56" s="148">
        <f t="shared" si="50"/>
        <v>1868043.9999999979</v>
      </c>
      <c r="N56" s="148">
        <f t="shared" si="50"/>
        <v>2261015</v>
      </c>
      <c r="O56" s="148">
        <f t="shared" si="50"/>
        <v>2766019.400000006</v>
      </c>
      <c r="P56" s="148">
        <f t="shared" si="50"/>
        <v>3358357.5999999964</v>
      </c>
      <c r="Q56" s="148">
        <f t="shared" si="50"/>
        <v>3996450.8000000059</v>
      </c>
      <c r="R56" s="148">
        <f t="shared" si="50"/>
        <v>4630324.9999999851</v>
      </c>
      <c r="S56" s="148">
        <f t="shared" si="50"/>
        <v>5214415</v>
      </c>
      <c r="T56" s="148">
        <f t="shared" si="50"/>
        <v>5724688.4000000013</v>
      </c>
      <c r="U56" s="149">
        <f t="shared" si="50"/>
        <v>6180089.5999999316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/>
      <c r="QB56" s="13"/>
      <c r="QC56" s="13"/>
      <c r="QD56" s="13"/>
      <c r="QE56" s="13"/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13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13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13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3"/>
      <c r="TS56" s="13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3"/>
      <c r="UI56" s="13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3"/>
      <c r="UY56" s="13"/>
      <c r="UZ56" s="13"/>
      <c r="VA56" s="13"/>
      <c r="VB56" s="13"/>
      <c r="VC56" s="13"/>
      <c r="VD56" s="13"/>
      <c r="VE56" s="13"/>
      <c r="VF56" s="13"/>
      <c r="VG56" s="13"/>
      <c r="VH56" s="13"/>
      <c r="VI56" s="13"/>
      <c r="VJ56" s="13"/>
      <c r="VK56" s="13"/>
      <c r="VL56" s="13"/>
      <c r="VM56" s="13"/>
      <c r="VN56" s="13"/>
      <c r="VO56" s="13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3"/>
      <c r="WE56" s="13"/>
      <c r="WF56" s="13"/>
      <c r="WG56" s="13"/>
      <c r="WH56" s="13"/>
      <c r="WI56" s="13"/>
      <c r="WJ56" s="13"/>
      <c r="WK56" s="13"/>
      <c r="WL56" s="13"/>
      <c r="WM56" s="13"/>
      <c r="WN56" s="13"/>
      <c r="WO56" s="13"/>
      <c r="WP56" s="13"/>
      <c r="WQ56" s="13"/>
      <c r="WR56" s="13"/>
      <c r="WS56" s="13"/>
      <c r="WT56" s="13"/>
      <c r="WU56" s="13"/>
      <c r="WV56" s="13"/>
      <c r="WW56" s="13"/>
      <c r="WX56" s="13"/>
      <c r="WY56" s="13"/>
      <c r="WZ56" s="13"/>
      <c r="XA56" s="13"/>
      <c r="XB56" s="13"/>
      <c r="XC56" s="13"/>
      <c r="XD56" s="13"/>
      <c r="XE56" s="13"/>
      <c r="XF56" s="13"/>
      <c r="XG56" s="13"/>
      <c r="XH56" s="13"/>
      <c r="XI56" s="13"/>
      <c r="XJ56" s="13"/>
      <c r="XK56" s="13"/>
      <c r="XL56" s="13"/>
      <c r="XM56" s="13"/>
      <c r="XN56" s="13"/>
      <c r="XO56" s="13"/>
      <c r="XP56" s="13"/>
      <c r="XQ56" s="13"/>
      <c r="XR56" s="13"/>
      <c r="XS56" s="13"/>
      <c r="XT56" s="13"/>
      <c r="XU56" s="13"/>
      <c r="XV56" s="13"/>
      <c r="XW56" s="13"/>
      <c r="XX56" s="13"/>
      <c r="XY56" s="13"/>
      <c r="XZ56" s="13"/>
      <c r="YA56" s="13"/>
      <c r="YB56" s="13"/>
      <c r="YC56" s="13"/>
      <c r="YD56" s="13"/>
      <c r="YE56" s="13"/>
      <c r="YF56" s="13"/>
      <c r="YG56" s="13"/>
      <c r="YH56" s="13"/>
      <c r="YI56" s="13"/>
      <c r="YJ56" s="13"/>
      <c r="YK56" s="13"/>
      <c r="YL56" s="13"/>
      <c r="YM56" s="13"/>
      <c r="YN56" s="13"/>
      <c r="YO56" s="13"/>
      <c r="YP56" s="13"/>
      <c r="YQ56" s="13"/>
      <c r="YR56" s="13"/>
      <c r="YS56" s="13"/>
      <c r="YT56" s="13"/>
      <c r="YU56" s="13"/>
      <c r="YV56" s="13"/>
      <c r="YW56" s="13"/>
      <c r="YX56" s="13"/>
      <c r="YY56" s="13"/>
      <c r="YZ56" s="13"/>
      <c r="ZA56" s="13"/>
      <c r="ZB56" s="13"/>
      <c r="ZC56" s="13"/>
      <c r="ZD56" s="13"/>
      <c r="ZE56" s="13"/>
      <c r="ZF56" s="13"/>
      <c r="ZG56" s="13"/>
      <c r="ZH56" s="13"/>
      <c r="ZI56" s="13"/>
      <c r="ZJ56" s="13"/>
      <c r="ZK56" s="13"/>
      <c r="ZL56" s="13"/>
      <c r="ZM56" s="13"/>
      <c r="ZN56" s="13"/>
      <c r="ZO56" s="13"/>
      <c r="ZP56" s="13"/>
      <c r="ZQ56" s="13"/>
      <c r="ZR56" s="13"/>
      <c r="ZS56" s="13"/>
      <c r="ZT56" s="13"/>
      <c r="ZU56" s="13"/>
      <c r="ZV56" s="13"/>
      <c r="ZW56" s="13"/>
      <c r="ZX56" s="13"/>
      <c r="ZY56" s="13"/>
      <c r="ZZ56" s="13"/>
      <c r="AAA56" s="13"/>
      <c r="AAB56" s="13"/>
      <c r="AAC56" s="13"/>
      <c r="AAD56" s="13"/>
      <c r="AAE56" s="13"/>
      <c r="AAF56" s="13"/>
      <c r="AAG56" s="13"/>
      <c r="AAH56" s="13"/>
      <c r="AAI56" s="13"/>
      <c r="AAJ56" s="13"/>
      <c r="AAK56" s="13"/>
      <c r="AAL56" s="13"/>
      <c r="AAM56" s="13"/>
      <c r="AAN56" s="13"/>
      <c r="AAO56" s="13"/>
      <c r="AAP56" s="13"/>
      <c r="AAQ56" s="13"/>
      <c r="AAR56" s="13"/>
      <c r="AAS56" s="13"/>
      <c r="AAT56" s="13"/>
      <c r="AAU56" s="13"/>
      <c r="AAV56" s="13"/>
      <c r="AAW56" s="13"/>
      <c r="AAX56" s="13"/>
      <c r="AAY56" s="13"/>
      <c r="AAZ56" s="13"/>
      <c r="ABA56" s="13"/>
      <c r="ABB56" s="13"/>
      <c r="ABC56" s="13"/>
      <c r="ABD56" s="13"/>
      <c r="ABE56" s="13"/>
      <c r="ABF56" s="13"/>
      <c r="ABG56" s="13"/>
      <c r="ABH56" s="13"/>
      <c r="ABI56" s="13"/>
      <c r="ABJ56" s="13"/>
      <c r="ABK56" s="13"/>
      <c r="ABL56" s="13"/>
      <c r="ABM56" s="13"/>
      <c r="ABN56" s="13"/>
      <c r="ABO56" s="13"/>
      <c r="ABP56" s="13"/>
      <c r="ABQ56" s="13"/>
      <c r="ABR56" s="13"/>
      <c r="ABS56" s="13"/>
      <c r="ABT56" s="13"/>
      <c r="ABU56" s="13"/>
      <c r="ABV56" s="13"/>
      <c r="ABW56" s="13"/>
      <c r="ABX56" s="13"/>
    </row>
    <row r="57" spans="1:752" s="24" customFormat="1" ht="15" customHeight="1" x14ac:dyDescent="0.3">
      <c r="A57" s="13"/>
      <c r="B57" s="31" t="s">
        <v>16</v>
      </c>
      <c r="C57" s="42"/>
      <c r="D57" s="102" t="s">
        <v>109</v>
      </c>
      <c r="E57" s="142">
        <f t="shared" ref="E57:U57" si="51">$H19*E56</f>
        <v>43115.682189618718</v>
      </c>
      <c r="F57" s="143">
        <f t="shared" si="51"/>
        <v>45134.973454255</v>
      </c>
      <c r="G57" s="143">
        <f t="shared" si="51"/>
        <v>49855.499811305774</v>
      </c>
      <c r="H57" s="143">
        <f t="shared" si="51"/>
        <v>56368.526621462457</v>
      </c>
      <c r="I57" s="143">
        <f t="shared" si="51"/>
        <v>61605.245436611811</v>
      </c>
      <c r="J57" s="143">
        <f t="shared" si="51"/>
        <v>66219.702753535836</v>
      </c>
      <c r="K57" s="143">
        <f t="shared" si="51"/>
        <v>72036.163616192964</v>
      </c>
      <c r="L57" s="143">
        <f t="shared" si="51"/>
        <v>81159.539810211005</v>
      </c>
      <c r="M57" s="143">
        <f t="shared" si="51"/>
        <v>95306.221257641839</v>
      </c>
      <c r="N57" s="143">
        <f t="shared" si="51"/>
        <v>115355.31061198094</v>
      </c>
      <c r="O57" s="143">
        <f t="shared" si="51"/>
        <v>141120.26105344979</v>
      </c>
      <c r="P57" s="143">
        <f t="shared" si="51"/>
        <v>171340.91728454098</v>
      </c>
      <c r="Q57" s="143">
        <f t="shared" si="51"/>
        <v>203895.95972583126</v>
      </c>
      <c r="R57" s="143">
        <f t="shared" si="51"/>
        <v>236235.75191204785</v>
      </c>
      <c r="S57" s="143">
        <f t="shared" si="51"/>
        <v>266035.59108841495</v>
      </c>
      <c r="T57" s="143">
        <f t="shared" si="51"/>
        <v>292069.36200724199</v>
      </c>
      <c r="U57" s="144">
        <f t="shared" si="51"/>
        <v>315303.59392479266</v>
      </c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</row>
    <row r="58" spans="1:752" s="24" customFormat="1" ht="15" customHeight="1" x14ac:dyDescent="0.3">
      <c r="A58" s="13"/>
      <c r="B58" s="37" t="s">
        <v>77</v>
      </c>
      <c r="C58" s="47"/>
      <c r="D58" s="90" t="s">
        <v>7</v>
      </c>
      <c r="E58" s="150">
        <f t="shared" ref="E58:U58" si="52">E57*100/($C$21*1000)</f>
        <v>1.2490058571731959</v>
      </c>
      <c r="F58" s="106">
        <f t="shared" si="52"/>
        <v>1.3075021278752896</v>
      </c>
      <c r="G58" s="106">
        <f t="shared" si="52"/>
        <v>1.4442497048466332</v>
      </c>
      <c r="H58" s="106">
        <f t="shared" si="52"/>
        <v>1.6329237144108477</v>
      </c>
      <c r="I58" s="106">
        <f t="shared" si="52"/>
        <v>1.7846247229609447</v>
      </c>
      <c r="J58" s="106">
        <f t="shared" si="52"/>
        <v>1.918299616266971</v>
      </c>
      <c r="K58" s="106">
        <f t="shared" si="52"/>
        <v>2.086795006262832</v>
      </c>
      <c r="L58" s="106">
        <f t="shared" si="52"/>
        <v>2.3510874800177</v>
      </c>
      <c r="M58" s="106">
        <f t="shared" si="52"/>
        <v>2.7608986459340046</v>
      </c>
      <c r="N58" s="106">
        <f t="shared" si="52"/>
        <v>3.341694977172101</v>
      </c>
      <c r="O58" s="106">
        <f t="shared" si="52"/>
        <v>4.0880724523015584</v>
      </c>
      <c r="P58" s="106">
        <f t="shared" si="52"/>
        <v>4.9635259931790552</v>
      </c>
      <c r="Q58" s="106">
        <f t="shared" si="52"/>
        <v>5.9066037000530489</v>
      </c>
      <c r="R58" s="106">
        <f t="shared" si="52"/>
        <v>6.8434458838947814</v>
      </c>
      <c r="S58" s="106">
        <f t="shared" si="52"/>
        <v>7.7067088959564005</v>
      </c>
      <c r="T58" s="106">
        <f t="shared" si="52"/>
        <v>8.4608737545550987</v>
      </c>
      <c r="U58" s="107">
        <f t="shared" si="52"/>
        <v>9.1339395690843759</v>
      </c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  <c r="ABI58" s="13"/>
      <c r="ABJ58" s="13"/>
      <c r="ABK58" s="13"/>
      <c r="ABL58" s="13"/>
      <c r="ABM58" s="13"/>
      <c r="ABN58" s="13"/>
      <c r="ABO58" s="13"/>
      <c r="ABP58" s="13"/>
      <c r="ABQ58" s="13"/>
      <c r="ABR58" s="13"/>
      <c r="ABS58" s="13"/>
      <c r="ABT58" s="13"/>
      <c r="ABU58" s="13"/>
      <c r="ABV58" s="13"/>
      <c r="ABW58" s="13"/>
      <c r="ABX58" s="13"/>
    </row>
    <row r="59" spans="1:752" s="24" customFormat="1" ht="1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</row>
    <row r="60" spans="1:752" s="24" customFormat="1" ht="15" customHeight="1" x14ac:dyDescent="0.3">
      <c r="A60" s="13"/>
      <c r="B60" s="108" t="s">
        <v>25</v>
      </c>
      <c r="C60" s="109"/>
      <c r="D60" s="110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55"/>
      <c r="Q60" s="155"/>
      <c r="R60" s="155"/>
      <c r="S60" s="155"/>
      <c r="T60" s="155"/>
      <c r="U60" s="156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</row>
    <row r="61" spans="1:752" s="24" customFormat="1" ht="15" customHeight="1" x14ac:dyDescent="0.3">
      <c r="A61" s="13"/>
      <c r="B61" s="112" t="s">
        <v>60</v>
      </c>
      <c r="C61" s="113"/>
      <c r="D61" s="114" t="s">
        <v>18</v>
      </c>
      <c r="E61" s="171">
        <f t="shared" ref="E61:U61" si="53">E32*10^6*(E52)/1000</f>
        <v>26589.13291982454</v>
      </c>
      <c r="F61" s="172">
        <f t="shared" si="53"/>
        <v>6310.6530677166947</v>
      </c>
      <c r="G61" s="172">
        <f t="shared" si="53"/>
        <v>1595.1323588279754</v>
      </c>
      <c r="H61" s="172">
        <f t="shared" si="53"/>
        <v>749.04873153410904</v>
      </c>
      <c r="I61" s="172">
        <f t="shared" si="53"/>
        <v>226.50511581702898</v>
      </c>
      <c r="J61" s="172">
        <f t="shared" si="53"/>
        <v>63.236966752565792</v>
      </c>
      <c r="K61" s="172">
        <f t="shared" si="53"/>
        <v>29.003777974757533</v>
      </c>
      <c r="L61" s="172">
        <f t="shared" si="53"/>
        <v>8.8647954124633106</v>
      </c>
      <c r="M61" s="172">
        <f t="shared" si="53"/>
        <v>3.9702502465488254</v>
      </c>
      <c r="N61" s="172">
        <f t="shared" si="53"/>
        <v>2.3751231345995802</v>
      </c>
      <c r="O61" s="172">
        <f t="shared" si="53"/>
        <v>1.6195155234944798</v>
      </c>
      <c r="P61" s="172">
        <f t="shared" si="53"/>
        <v>1.4364049986887757</v>
      </c>
      <c r="Q61" s="172">
        <f t="shared" si="53"/>
        <v>1.3836784005614291</v>
      </c>
      <c r="R61" s="172">
        <f t="shared" si="53"/>
        <v>1.3686506366222413</v>
      </c>
      <c r="S61" s="172">
        <f t="shared" si="53"/>
        <v>1.3570874702251081</v>
      </c>
      <c r="T61" s="172">
        <f t="shared" si="53"/>
        <v>1.3509758535723237</v>
      </c>
      <c r="U61" s="173">
        <f t="shared" si="53"/>
        <v>1.3478419334243312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</row>
    <row r="62" spans="1:752" s="24" customFormat="1" ht="15" customHeight="1" x14ac:dyDescent="0.3">
      <c r="A62" s="13"/>
      <c r="B62" s="39" t="s">
        <v>62</v>
      </c>
      <c r="C62" s="115"/>
      <c r="D62" s="116" t="s">
        <v>4</v>
      </c>
      <c r="E62" s="117">
        <f t="shared" ref="E62" si="54">$H$13/100*$H$14</f>
        <v>72</v>
      </c>
      <c r="F62" s="81">
        <f>$E62</f>
        <v>72</v>
      </c>
      <c r="G62" s="81">
        <f t="shared" ref="G62:U62" si="55">$E62</f>
        <v>72</v>
      </c>
      <c r="H62" s="81">
        <f t="shared" si="55"/>
        <v>72</v>
      </c>
      <c r="I62" s="81">
        <f t="shared" si="55"/>
        <v>72</v>
      </c>
      <c r="J62" s="81">
        <f t="shared" si="55"/>
        <v>72</v>
      </c>
      <c r="K62" s="81">
        <f t="shared" si="55"/>
        <v>72</v>
      </c>
      <c r="L62" s="81">
        <f t="shared" si="55"/>
        <v>72</v>
      </c>
      <c r="M62" s="81">
        <f t="shared" si="55"/>
        <v>72</v>
      </c>
      <c r="N62" s="81">
        <f t="shared" si="55"/>
        <v>72</v>
      </c>
      <c r="O62" s="81">
        <f t="shared" si="55"/>
        <v>72</v>
      </c>
      <c r="P62" s="81">
        <f t="shared" si="55"/>
        <v>72</v>
      </c>
      <c r="Q62" s="81">
        <f t="shared" si="55"/>
        <v>72</v>
      </c>
      <c r="R62" s="81">
        <f t="shared" si="55"/>
        <v>72</v>
      </c>
      <c r="S62" s="81">
        <f t="shared" si="55"/>
        <v>72</v>
      </c>
      <c r="T62" s="81">
        <f t="shared" si="55"/>
        <v>72</v>
      </c>
      <c r="U62" s="82">
        <f t="shared" si="55"/>
        <v>72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</row>
    <row r="63" spans="1:752" s="24" customFormat="1" ht="15" customHeight="1" x14ac:dyDescent="0.3">
      <c r="A63" s="13"/>
      <c r="B63" s="29" t="s">
        <v>61</v>
      </c>
      <c r="C63" s="118"/>
      <c r="D63" s="119" t="s">
        <v>2</v>
      </c>
      <c r="E63" s="99">
        <f t="shared" ref="E63:U63" si="56">E61*$C$20/(E62/100)</f>
        <v>73858702.555068165</v>
      </c>
      <c r="F63" s="100">
        <f t="shared" si="56"/>
        <v>17529591.854768597</v>
      </c>
      <c r="G63" s="100">
        <f t="shared" si="56"/>
        <v>4430923.2189665986</v>
      </c>
      <c r="H63" s="100">
        <f t="shared" si="56"/>
        <v>2080690.9209280806</v>
      </c>
      <c r="I63" s="100">
        <f t="shared" si="56"/>
        <v>629180.87726952496</v>
      </c>
      <c r="J63" s="100">
        <f t="shared" si="56"/>
        <v>175658.24097934944</v>
      </c>
      <c r="K63" s="100">
        <f t="shared" si="56"/>
        <v>80566.049929882036</v>
      </c>
      <c r="L63" s="100">
        <f t="shared" si="56"/>
        <v>24624.431701286976</v>
      </c>
      <c r="M63" s="100">
        <f t="shared" si="56"/>
        <v>11028.472907080071</v>
      </c>
      <c r="N63" s="100">
        <f t="shared" si="56"/>
        <v>6597.5642627766119</v>
      </c>
      <c r="O63" s="100">
        <f t="shared" si="56"/>
        <v>4498.6542319291111</v>
      </c>
      <c r="P63" s="100">
        <f t="shared" si="56"/>
        <v>3990.0138852465993</v>
      </c>
      <c r="Q63" s="100">
        <f t="shared" si="56"/>
        <v>3843.5511126706365</v>
      </c>
      <c r="R63" s="100">
        <f t="shared" si="56"/>
        <v>3801.8073239506707</v>
      </c>
      <c r="S63" s="100">
        <f t="shared" si="56"/>
        <v>3769.687417291967</v>
      </c>
      <c r="T63" s="100">
        <f t="shared" si="56"/>
        <v>3752.710704367566</v>
      </c>
      <c r="U63" s="101">
        <f t="shared" si="56"/>
        <v>3744.0053706231424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  <c r="VU63" s="13"/>
      <c r="VV63" s="13"/>
      <c r="VW63" s="13"/>
      <c r="VX63" s="13"/>
      <c r="VY63" s="13"/>
      <c r="VZ63" s="13"/>
      <c r="WA63" s="13"/>
      <c r="WB63" s="13"/>
      <c r="WC63" s="13"/>
      <c r="WD63" s="13"/>
      <c r="WE63" s="13"/>
      <c r="WF63" s="13"/>
      <c r="WG63" s="13"/>
      <c r="WH63" s="13"/>
      <c r="WI63" s="13"/>
      <c r="WJ63" s="13"/>
      <c r="WK63" s="13"/>
      <c r="WL63" s="13"/>
      <c r="WM63" s="13"/>
      <c r="WN63" s="13"/>
      <c r="WO63" s="13"/>
      <c r="WP63" s="13"/>
      <c r="WQ63" s="13"/>
      <c r="WR63" s="13"/>
      <c r="WS63" s="13"/>
      <c r="WT63" s="13"/>
      <c r="WU63" s="13"/>
      <c r="WV63" s="13"/>
      <c r="WW63" s="13"/>
      <c r="WX63" s="13"/>
      <c r="WY63" s="13"/>
      <c r="WZ63" s="13"/>
      <c r="XA63" s="13"/>
      <c r="XB63" s="13"/>
      <c r="XC63" s="13"/>
      <c r="XD63" s="13"/>
      <c r="XE63" s="13"/>
      <c r="XF63" s="13"/>
      <c r="XG63" s="13"/>
      <c r="XH63" s="13"/>
      <c r="XI63" s="13"/>
      <c r="XJ63" s="13"/>
      <c r="XK63" s="13"/>
      <c r="XL63" s="13"/>
      <c r="XM63" s="13"/>
      <c r="XN63" s="13"/>
      <c r="XO63" s="13"/>
      <c r="XP63" s="13"/>
      <c r="XQ63" s="13"/>
      <c r="XR63" s="13"/>
      <c r="XS63" s="13"/>
      <c r="XT63" s="13"/>
      <c r="XU63" s="13"/>
      <c r="XV63" s="13"/>
      <c r="XW63" s="13"/>
      <c r="XX63" s="13"/>
      <c r="XY63" s="13"/>
      <c r="XZ63" s="13"/>
      <c r="YA63" s="13"/>
      <c r="YB63" s="13"/>
      <c r="YC63" s="13"/>
      <c r="YD63" s="13"/>
      <c r="YE63" s="13"/>
      <c r="YF63" s="13"/>
      <c r="YG63" s="13"/>
      <c r="YH63" s="13"/>
      <c r="YI63" s="13"/>
      <c r="YJ63" s="13"/>
      <c r="YK63" s="13"/>
      <c r="YL63" s="13"/>
      <c r="YM63" s="13"/>
      <c r="YN63" s="13"/>
      <c r="YO63" s="13"/>
      <c r="YP63" s="13"/>
      <c r="YQ63" s="13"/>
      <c r="YR63" s="13"/>
      <c r="YS63" s="13"/>
      <c r="YT63" s="13"/>
      <c r="YU63" s="13"/>
      <c r="YV63" s="13"/>
      <c r="YW63" s="13"/>
      <c r="YX63" s="13"/>
      <c r="YY63" s="13"/>
      <c r="YZ63" s="13"/>
      <c r="ZA63" s="13"/>
      <c r="ZB63" s="13"/>
      <c r="ZC63" s="13"/>
      <c r="ZD63" s="13"/>
      <c r="ZE63" s="13"/>
      <c r="ZF63" s="13"/>
      <c r="ZG63" s="13"/>
      <c r="ZH63" s="13"/>
      <c r="ZI63" s="13"/>
      <c r="ZJ63" s="13"/>
      <c r="ZK63" s="13"/>
      <c r="ZL63" s="13"/>
      <c r="ZM63" s="13"/>
      <c r="ZN63" s="13"/>
      <c r="ZO63" s="13"/>
      <c r="ZP63" s="13"/>
      <c r="ZQ63" s="13"/>
      <c r="ZR63" s="13"/>
      <c r="ZS63" s="13"/>
      <c r="ZT63" s="13"/>
      <c r="ZU63" s="13"/>
      <c r="ZV63" s="13"/>
      <c r="ZW63" s="13"/>
      <c r="ZX63" s="13"/>
      <c r="ZY63" s="13"/>
      <c r="ZZ63" s="13"/>
      <c r="AAA63" s="13"/>
      <c r="AAB63" s="13"/>
      <c r="AAC63" s="13"/>
      <c r="AAD63" s="13"/>
      <c r="AAE63" s="13"/>
      <c r="AAF63" s="13"/>
      <c r="AAG63" s="13"/>
      <c r="AAH63" s="13"/>
      <c r="AAI63" s="13"/>
      <c r="AAJ63" s="13"/>
      <c r="AAK63" s="13"/>
      <c r="AAL63" s="13"/>
      <c r="AAM63" s="13"/>
      <c r="AAN63" s="13"/>
      <c r="AAO63" s="13"/>
      <c r="AAP63" s="13"/>
      <c r="AAQ63" s="13"/>
      <c r="AAR63" s="13"/>
      <c r="AAS63" s="13"/>
      <c r="AAT63" s="13"/>
      <c r="AAU63" s="13"/>
      <c r="AAV63" s="13"/>
      <c r="AAW63" s="13"/>
      <c r="AAX63" s="13"/>
      <c r="AAY63" s="13"/>
      <c r="AAZ63" s="13"/>
      <c r="ABA63" s="13"/>
      <c r="ABB63" s="13"/>
      <c r="ABC63" s="13"/>
      <c r="ABD63" s="13"/>
      <c r="ABE63" s="13"/>
      <c r="ABF63" s="13"/>
      <c r="ABG63" s="13"/>
      <c r="ABH63" s="13"/>
      <c r="ABI63" s="13"/>
      <c r="ABJ63" s="13"/>
      <c r="ABK63" s="13"/>
      <c r="ABL63" s="13"/>
      <c r="ABM63" s="13"/>
      <c r="ABN63" s="13"/>
      <c r="ABO63" s="13"/>
      <c r="ABP63" s="13"/>
      <c r="ABQ63" s="13"/>
      <c r="ABR63" s="13"/>
      <c r="ABS63" s="13"/>
      <c r="ABT63" s="13"/>
      <c r="ABU63" s="13"/>
      <c r="ABV63" s="13"/>
      <c r="ABW63" s="13"/>
      <c r="ABX63" s="13"/>
    </row>
    <row r="64" spans="1:752" s="24" customFormat="1" ht="15" customHeight="1" x14ac:dyDescent="0.3">
      <c r="A64" s="13"/>
      <c r="B64" s="31" t="s">
        <v>9</v>
      </c>
      <c r="C64" s="42"/>
      <c r="D64" s="102" t="s">
        <v>109</v>
      </c>
      <c r="E64" s="105">
        <f>E63*$H$21/100</f>
        <v>14771740.511013633</v>
      </c>
      <c r="F64" s="105">
        <f t="shared" ref="F64:P64" si="57">F63*$H$21/100</f>
        <v>3505918.3709537196</v>
      </c>
      <c r="G64" s="105">
        <f t="shared" si="57"/>
        <v>886184.64379331982</v>
      </c>
      <c r="H64" s="105">
        <f t="shared" si="57"/>
        <v>416138.18418561609</v>
      </c>
      <c r="I64" s="105">
        <f t="shared" si="57"/>
        <v>125836.175453905</v>
      </c>
      <c r="J64" s="105">
        <f t="shared" si="57"/>
        <v>35131.648195869893</v>
      </c>
      <c r="K64" s="105">
        <f t="shared" si="57"/>
        <v>16113.209985976408</v>
      </c>
      <c r="L64" s="105">
        <f t="shared" si="57"/>
        <v>4924.8863402573952</v>
      </c>
      <c r="M64" s="105">
        <f t="shared" si="57"/>
        <v>2205.694581416014</v>
      </c>
      <c r="N64" s="105">
        <f t="shared" si="57"/>
        <v>1319.5128525553225</v>
      </c>
      <c r="O64" s="105">
        <f t="shared" si="57"/>
        <v>899.73084638582225</v>
      </c>
      <c r="P64" s="105">
        <f t="shared" si="57"/>
        <v>798.00277704931989</v>
      </c>
      <c r="Q64" s="105">
        <f t="shared" ref="Q64:U64" si="58">Q63*$H$21/100</f>
        <v>768.7102225341273</v>
      </c>
      <c r="R64" s="105">
        <f t="shared" si="58"/>
        <v>760.36146479013416</v>
      </c>
      <c r="S64" s="105">
        <f t="shared" si="58"/>
        <v>753.93748345839344</v>
      </c>
      <c r="T64" s="105">
        <f t="shared" si="58"/>
        <v>750.54214087351318</v>
      </c>
      <c r="U64" s="177">
        <f t="shared" si="58"/>
        <v>748.80107412462849</v>
      </c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  <c r="NP64" s="13"/>
      <c r="NQ64" s="13"/>
      <c r="NR64" s="13"/>
      <c r="NS64" s="13"/>
      <c r="NT64" s="13"/>
      <c r="NU64" s="13"/>
      <c r="NV64" s="13"/>
      <c r="NW64" s="13"/>
      <c r="NX64" s="13"/>
      <c r="NY64" s="13"/>
      <c r="NZ64" s="13"/>
      <c r="OA64" s="13"/>
      <c r="OB64" s="13"/>
      <c r="OC64" s="13"/>
      <c r="OD64" s="13"/>
      <c r="OE64" s="13"/>
      <c r="OF64" s="13"/>
      <c r="OG64" s="13"/>
      <c r="OH64" s="13"/>
      <c r="OI64" s="13"/>
      <c r="OJ64" s="13"/>
      <c r="OK64" s="13"/>
      <c r="OL64" s="13"/>
      <c r="OM64" s="13"/>
      <c r="ON64" s="13"/>
      <c r="OO64" s="13"/>
      <c r="OP64" s="13"/>
      <c r="OQ64" s="13"/>
      <c r="OR64" s="13"/>
      <c r="OS64" s="13"/>
      <c r="OT64" s="13"/>
      <c r="OU64" s="13"/>
      <c r="OV64" s="13"/>
      <c r="OW64" s="13"/>
      <c r="OX64" s="13"/>
      <c r="OY64" s="13"/>
      <c r="OZ64" s="13"/>
      <c r="PA64" s="13"/>
      <c r="PB64" s="13"/>
      <c r="PC64" s="13"/>
      <c r="PD64" s="13"/>
      <c r="PE64" s="13"/>
      <c r="PF64" s="13"/>
      <c r="PG64" s="13"/>
      <c r="PH64" s="13"/>
      <c r="PI64" s="13"/>
      <c r="PJ64" s="13"/>
      <c r="PK64" s="13"/>
      <c r="PL64" s="13"/>
      <c r="PM64" s="13"/>
      <c r="PN64" s="13"/>
      <c r="PO64" s="13"/>
      <c r="PP64" s="13"/>
      <c r="PQ64" s="13"/>
      <c r="PR64" s="13"/>
      <c r="PS64" s="13"/>
      <c r="PT64" s="13"/>
      <c r="PU64" s="13"/>
      <c r="PV64" s="13"/>
      <c r="PW64" s="13"/>
      <c r="PX64" s="13"/>
      <c r="PY64" s="13"/>
      <c r="PZ64" s="13"/>
      <c r="QA64" s="13"/>
      <c r="QB64" s="13"/>
      <c r="QC64" s="13"/>
      <c r="QD64" s="13"/>
      <c r="QE64" s="13"/>
      <c r="QF64" s="13"/>
      <c r="QG64" s="13"/>
      <c r="QH64" s="13"/>
      <c r="QI64" s="13"/>
      <c r="QJ64" s="13"/>
      <c r="QK64" s="13"/>
      <c r="QL64" s="13"/>
      <c r="QM64" s="13"/>
      <c r="QN64" s="13"/>
      <c r="QO64" s="13"/>
      <c r="QP64" s="13"/>
      <c r="QQ64" s="13"/>
      <c r="QR64" s="13"/>
      <c r="QS64" s="13"/>
      <c r="QT64" s="13"/>
      <c r="QU64" s="13"/>
      <c r="QV64" s="13"/>
      <c r="QW64" s="13"/>
      <c r="QX64" s="13"/>
      <c r="QY64" s="13"/>
      <c r="QZ64" s="13"/>
      <c r="RA64" s="13"/>
      <c r="RB64" s="13"/>
      <c r="RC64" s="13"/>
      <c r="RD64" s="13"/>
      <c r="RE64" s="13"/>
      <c r="RF64" s="13"/>
      <c r="RG64" s="13"/>
      <c r="RH64" s="13"/>
      <c r="RI64" s="13"/>
      <c r="RJ64" s="13"/>
      <c r="RK64" s="13"/>
      <c r="RL64" s="13"/>
      <c r="RM64" s="13"/>
      <c r="RN64" s="13"/>
      <c r="RO64" s="13"/>
      <c r="RP64" s="13"/>
      <c r="RQ64" s="13"/>
      <c r="RR64" s="13"/>
      <c r="RS64" s="13"/>
      <c r="RT64" s="13"/>
      <c r="RU64" s="13"/>
      <c r="RV64" s="13"/>
      <c r="RW64" s="13"/>
      <c r="RX64" s="13"/>
      <c r="RY64" s="13"/>
      <c r="RZ64" s="13"/>
      <c r="SA64" s="13"/>
      <c r="SB64" s="13"/>
      <c r="SC64" s="13"/>
      <c r="SD64" s="13"/>
      <c r="SE64" s="13"/>
      <c r="SF64" s="13"/>
      <c r="SG64" s="13"/>
      <c r="SH64" s="13"/>
      <c r="SI64" s="13"/>
      <c r="SJ64" s="13"/>
      <c r="SK64" s="13"/>
      <c r="SL64" s="13"/>
      <c r="SM64" s="13"/>
      <c r="SN64" s="13"/>
      <c r="SO64" s="13"/>
      <c r="SP64" s="13"/>
      <c r="SQ64" s="13"/>
      <c r="SR64" s="13"/>
      <c r="SS64" s="13"/>
      <c r="ST64" s="13"/>
      <c r="SU64" s="13"/>
      <c r="SV64" s="13"/>
      <c r="SW64" s="13"/>
      <c r="SX64" s="13"/>
      <c r="SY64" s="13"/>
      <c r="SZ64" s="13"/>
      <c r="TA64" s="13"/>
      <c r="TB64" s="13"/>
      <c r="TC64" s="13"/>
      <c r="TD64" s="13"/>
      <c r="TE64" s="13"/>
      <c r="TF64" s="13"/>
      <c r="TG64" s="13"/>
      <c r="TH64" s="13"/>
      <c r="TI64" s="13"/>
      <c r="TJ64" s="13"/>
      <c r="TK64" s="13"/>
      <c r="TL64" s="13"/>
      <c r="TM64" s="13"/>
      <c r="TN64" s="13"/>
      <c r="TO64" s="13"/>
      <c r="TP64" s="13"/>
      <c r="TQ64" s="13"/>
      <c r="TR64" s="13"/>
      <c r="TS64" s="13"/>
      <c r="TT64" s="13"/>
      <c r="TU64" s="13"/>
      <c r="TV64" s="13"/>
      <c r="TW64" s="13"/>
      <c r="TX64" s="13"/>
      <c r="TY64" s="13"/>
      <c r="TZ64" s="13"/>
      <c r="UA64" s="13"/>
      <c r="UB64" s="13"/>
      <c r="UC64" s="13"/>
      <c r="UD64" s="13"/>
      <c r="UE64" s="13"/>
      <c r="UF64" s="13"/>
      <c r="UG64" s="13"/>
      <c r="UH64" s="13"/>
      <c r="UI64" s="13"/>
      <c r="UJ64" s="13"/>
      <c r="UK64" s="13"/>
      <c r="UL64" s="13"/>
      <c r="UM64" s="13"/>
      <c r="UN64" s="13"/>
      <c r="UO64" s="13"/>
      <c r="UP64" s="13"/>
      <c r="UQ64" s="13"/>
      <c r="UR64" s="13"/>
      <c r="US64" s="13"/>
      <c r="UT64" s="13"/>
      <c r="UU64" s="13"/>
      <c r="UV64" s="13"/>
      <c r="UW64" s="13"/>
      <c r="UX64" s="13"/>
      <c r="UY64" s="13"/>
      <c r="UZ64" s="13"/>
      <c r="VA64" s="13"/>
      <c r="VB64" s="13"/>
      <c r="VC64" s="13"/>
      <c r="VD64" s="13"/>
      <c r="VE64" s="13"/>
      <c r="VF64" s="13"/>
      <c r="VG64" s="13"/>
      <c r="VH64" s="13"/>
      <c r="VI64" s="13"/>
      <c r="VJ64" s="13"/>
      <c r="VK64" s="13"/>
      <c r="VL64" s="13"/>
      <c r="VM64" s="13"/>
      <c r="VN64" s="13"/>
      <c r="VO64" s="13"/>
      <c r="VP64" s="13"/>
      <c r="VQ64" s="13"/>
      <c r="VR64" s="13"/>
      <c r="VS64" s="13"/>
      <c r="VT64" s="13"/>
      <c r="VU64" s="13"/>
      <c r="VV64" s="13"/>
      <c r="VW64" s="13"/>
      <c r="VX64" s="13"/>
      <c r="VY64" s="13"/>
      <c r="VZ64" s="13"/>
      <c r="WA64" s="13"/>
      <c r="WB64" s="13"/>
      <c r="WC64" s="13"/>
      <c r="WD64" s="13"/>
      <c r="WE64" s="13"/>
      <c r="WF64" s="13"/>
      <c r="WG64" s="13"/>
      <c r="WH64" s="13"/>
      <c r="WI64" s="13"/>
      <c r="WJ64" s="13"/>
      <c r="WK64" s="13"/>
      <c r="WL64" s="13"/>
      <c r="WM64" s="13"/>
      <c r="WN64" s="13"/>
      <c r="WO64" s="13"/>
      <c r="WP64" s="13"/>
      <c r="WQ64" s="13"/>
      <c r="WR64" s="13"/>
      <c r="WS64" s="13"/>
      <c r="WT64" s="13"/>
      <c r="WU64" s="13"/>
      <c r="WV64" s="13"/>
      <c r="WW64" s="13"/>
      <c r="WX64" s="13"/>
      <c r="WY64" s="13"/>
      <c r="WZ64" s="13"/>
      <c r="XA64" s="13"/>
      <c r="XB64" s="13"/>
      <c r="XC64" s="13"/>
      <c r="XD64" s="13"/>
      <c r="XE64" s="13"/>
      <c r="XF64" s="13"/>
      <c r="XG64" s="13"/>
      <c r="XH64" s="13"/>
      <c r="XI64" s="13"/>
      <c r="XJ64" s="13"/>
      <c r="XK64" s="13"/>
      <c r="XL64" s="13"/>
      <c r="XM64" s="13"/>
      <c r="XN64" s="13"/>
      <c r="XO64" s="13"/>
      <c r="XP64" s="13"/>
      <c r="XQ64" s="13"/>
      <c r="XR64" s="13"/>
      <c r="XS64" s="13"/>
      <c r="XT64" s="13"/>
      <c r="XU64" s="13"/>
      <c r="XV64" s="13"/>
      <c r="XW64" s="13"/>
      <c r="XX64" s="13"/>
      <c r="XY64" s="13"/>
      <c r="XZ64" s="13"/>
      <c r="YA64" s="13"/>
      <c r="YB64" s="13"/>
      <c r="YC64" s="13"/>
      <c r="YD64" s="13"/>
      <c r="YE64" s="13"/>
      <c r="YF64" s="13"/>
      <c r="YG64" s="13"/>
      <c r="YH64" s="13"/>
      <c r="YI64" s="13"/>
      <c r="YJ64" s="13"/>
      <c r="YK64" s="13"/>
      <c r="YL64" s="13"/>
      <c r="YM64" s="13"/>
      <c r="YN64" s="13"/>
      <c r="YO64" s="13"/>
      <c r="YP64" s="13"/>
      <c r="YQ64" s="13"/>
      <c r="YR64" s="13"/>
      <c r="YS64" s="13"/>
      <c r="YT64" s="13"/>
      <c r="YU64" s="13"/>
      <c r="YV64" s="13"/>
      <c r="YW64" s="13"/>
      <c r="YX64" s="13"/>
      <c r="YY64" s="13"/>
      <c r="YZ64" s="13"/>
      <c r="ZA64" s="13"/>
      <c r="ZB64" s="13"/>
      <c r="ZC64" s="13"/>
      <c r="ZD64" s="13"/>
      <c r="ZE64" s="13"/>
      <c r="ZF64" s="13"/>
      <c r="ZG64" s="13"/>
      <c r="ZH64" s="13"/>
      <c r="ZI64" s="13"/>
      <c r="ZJ64" s="13"/>
      <c r="ZK64" s="13"/>
      <c r="ZL64" s="13"/>
      <c r="ZM64" s="13"/>
      <c r="ZN64" s="13"/>
      <c r="ZO64" s="13"/>
      <c r="ZP64" s="13"/>
      <c r="ZQ64" s="13"/>
      <c r="ZR64" s="13"/>
      <c r="ZS64" s="13"/>
      <c r="ZT64" s="13"/>
      <c r="ZU64" s="13"/>
      <c r="ZV64" s="13"/>
      <c r="ZW64" s="13"/>
      <c r="ZX64" s="13"/>
      <c r="ZY64" s="13"/>
      <c r="ZZ64" s="13"/>
      <c r="AAA64" s="13"/>
      <c r="AAB64" s="13"/>
      <c r="AAC64" s="13"/>
      <c r="AAD64" s="13"/>
      <c r="AAE64" s="13"/>
      <c r="AAF64" s="13"/>
      <c r="AAG64" s="13"/>
      <c r="AAH64" s="13"/>
      <c r="AAI64" s="13"/>
      <c r="AAJ64" s="13"/>
      <c r="AAK64" s="13"/>
      <c r="AAL64" s="13"/>
      <c r="AAM64" s="13"/>
      <c r="AAN64" s="13"/>
      <c r="AAO64" s="13"/>
      <c r="AAP64" s="13"/>
      <c r="AAQ64" s="13"/>
      <c r="AAR64" s="13"/>
      <c r="AAS64" s="13"/>
      <c r="AAT64" s="13"/>
      <c r="AAU64" s="13"/>
      <c r="AAV64" s="13"/>
      <c r="AAW64" s="13"/>
      <c r="AAX64" s="13"/>
      <c r="AAY64" s="13"/>
      <c r="AAZ64" s="13"/>
      <c r="ABA64" s="13"/>
      <c r="ABB64" s="13"/>
      <c r="ABC64" s="13"/>
      <c r="ABD64" s="13"/>
      <c r="ABE64" s="13"/>
      <c r="ABF64" s="13"/>
      <c r="ABG64" s="13"/>
      <c r="ABH64" s="13"/>
      <c r="ABI64" s="13"/>
      <c r="ABJ64" s="13"/>
      <c r="ABK64" s="13"/>
      <c r="ABL64" s="13"/>
      <c r="ABM64" s="13"/>
      <c r="ABN64" s="13"/>
      <c r="ABO64" s="13"/>
      <c r="ABP64" s="13"/>
      <c r="ABQ64" s="13"/>
      <c r="ABR64" s="13"/>
      <c r="ABS64" s="13"/>
      <c r="ABT64" s="13"/>
      <c r="ABU64" s="13"/>
      <c r="ABV64" s="13"/>
      <c r="ABW64" s="13"/>
      <c r="ABX64" s="13"/>
    </row>
    <row r="65" spans="1:752" s="24" customFormat="1" ht="15" customHeight="1" x14ac:dyDescent="0.3">
      <c r="A65" s="13"/>
      <c r="B65" s="37" t="s">
        <v>9</v>
      </c>
      <c r="C65" s="47"/>
      <c r="D65" s="90" t="s">
        <v>7</v>
      </c>
      <c r="E65" s="106">
        <f t="shared" ref="E65:U65" si="59">E64*100/($C$21*1000)</f>
        <v>427.91832303052234</v>
      </c>
      <c r="F65" s="106">
        <f t="shared" si="59"/>
        <v>101.56194585613325</v>
      </c>
      <c r="G65" s="106">
        <f t="shared" si="59"/>
        <v>25.671629310351094</v>
      </c>
      <c r="H65" s="106">
        <f t="shared" si="59"/>
        <v>12.054987954392123</v>
      </c>
      <c r="I65" s="106">
        <f t="shared" si="59"/>
        <v>3.6453121510401214</v>
      </c>
      <c r="J65" s="106">
        <f t="shared" si="59"/>
        <v>1.0177186615257792</v>
      </c>
      <c r="K65" s="106">
        <f t="shared" si="59"/>
        <v>0.46677896830754367</v>
      </c>
      <c r="L65" s="106">
        <f t="shared" si="59"/>
        <v>0.14266762283480286</v>
      </c>
      <c r="M65" s="106">
        <f t="shared" si="59"/>
        <v>6.389613503522637E-2</v>
      </c>
      <c r="N65" s="106">
        <f t="shared" si="59"/>
        <v>3.822459016672429E-2</v>
      </c>
      <c r="O65" s="106">
        <f t="shared" si="59"/>
        <v>2.6064045376182569E-2</v>
      </c>
      <c r="P65" s="106">
        <f t="shared" si="59"/>
        <v>2.3117114051254922E-2</v>
      </c>
      <c r="Q65" s="106">
        <f t="shared" si="59"/>
        <v>2.2268546423352468E-2</v>
      </c>
      <c r="R65" s="106">
        <f t="shared" si="59"/>
        <v>2.2026693649772139E-2</v>
      </c>
      <c r="S65" s="106">
        <f t="shared" si="59"/>
        <v>2.1840599173186367E-2</v>
      </c>
      <c r="T65" s="106">
        <f t="shared" si="59"/>
        <v>2.1742240465629E-2</v>
      </c>
      <c r="U65" s="107">
        <f t="shared" si="59"/>
        <v>2.1691804001292829E-2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</row>
    <row r="66" spans="1:752" s="24" customFormat="1" ht="1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  <c r="XW66" s="13"/>
      <c r="XX66" s="13"/>
      <c r="XY66" s="13"/>
      <c r="XZ66" s="13"/>
      <c r="YA66" s="13"/>
      <c r="YB66" s="13"/>
      <c r="YC66" s="13"/>
      <c r="YD66" s="13"/>
      <c r="YE66" s="13"/>
      <c r="YF66" s="13"/>
      <c r="YG66" s="13"/>
      <c r="YH66" s="13"/>
      <c r="YI66" s="13"/>
      <c r="YJ66" s="13"/>
      <c r="YK66" s="13"/>
      <c r="YL66" s="13"/>
      <c r="YM66" s="13"/>
      <c r="YN66" s="13"/>
      <c r="YO66" s="13"/>
      <c r="YP66" s="13"/>
      <c r="YQ66" s="13"/>
      <c r="YR66" s="13"/>
      <c r="YS66" s="13"/>
      <c r="YT66" s="13"/>
      <c r="YU66" s="13"/>
      <c r="YV66" s="13"/>
      <c r="YW66" s="13"/>
      <c r="YX66" s="13"/>
      <c r="YY66" s="13"/>
      <c r="YZ66" s="13"/>
      <c r="ZA66" s="13"/>
      <c r="ZB66" s="13"/>
      <c r="ZC66" s="13"/>
      <c r="ZD66" s="13"/>
      <c r="ZE66" s="13"/>
      <c r="ZF66" s="13"/>
      <c r="ZG66" s="13"/>
      <c r="ZH66" s="13"/>
      <c r="ZI66" s="13"/>
      <c r="ZJ66" s="13"/>
      <c r="ZK66" s="13"/>
      <c r="ZL66" s="13"/>
      <c r="ZM66" s="13"/>
      <c r="ZN66" s="13"/>
      <c r="ZO66" s="13"/>
      <c r="ZP66" s="13"/>
      <c r="ZQ66" s="13"/>
      <c r="ZR66" s="13"/>
      <c r="ZS66" s="13"/>
      <c r="ZT66" s="13"/>
      <c r="ZU66" s="13"/>
      <c r="ZV66" s="13"/>
      <c r="ZW66" s="13"/>
      <c r="ZX66" s="13"/>
      <c r="ZY66" s="13"/>
      <c r="ZZ66" s="13"/>
      <c r="AAA66" s="13"/>
      <c r="AAB66" s="13"/>
      <c r="AAC66" s="13"/>
      <c r="AAD66" s="13"/>
      <c r="AAE66" s="13"/>
      <c r="AAF66" s="13"/>
      <c r="AAG66" s="13"/>
      <c r="AAH66" s="13"/>
      <c r="AAI66" s="13"/>
      <c r="AAJ66" s="13"/>
      <c r="AAK66" s="13"/>
      <c r="AAL66" s="13"/>
      <c r="AAM66" s="13"/>
      <c r="AAN66" s="13"/>
      <c r="AAO66" s="13"/>
      <c r="AAP66" s="13"/>
      <c r="AAQ66" s="13"/>
      <c r="AAR66" s="13"/>
      <c r="AAS66" s="13"/>
      <c r="AAT66" s="13"/>
      <c r="AAU66" s="13"/>
      <c r="AAV66" s="13"/>
      <c r="AAW66" s="13"/>
      <c r="AAX66" s="13"/>
      <c r="AAY66" s="13"/>
      <c r="AAZ66" s="13"/>
      <c r="ABA66" s="13"/>
      <c r="ABB66" s="13"/>
      <c r="ABC66" s="13"/>
      <c r="ABD66" s="13"/>
      <c r="ABE66" s="13"/>
      <c r="ABF66" s="13"/>
      <c r="ABG66" s="13"/>
      <c r="ABH66" s="13"/>
      <c r="ABI66" s="13"/>
      <c r="ABJ66" s="13"/>
      <c r="ABK66" s="13"/>
      <c r="ABL66" s="13"/>
      <c r="ABM66" s="13"/>
      <c r="ABN66" s="13"/>
      <c r="ABO66" s="13"/>
      <c r="ABP66" s="13"/>
      <c r="ABQ66" s="13"/>
      <c r="ABR66" s="13"/>
      <c r="ABS66" s="13"/>
      <c r="ABT66" s="13"/>
      <c r="ABU66" s="13"/>
      <c r="ABV66" s="13"/>
      <c r="ABW66" s="13"/>
      <c r="ABX66" s="13"/>
    </row>
    <row r="67" spans="1:752" s="24" customFormat="1" ht="15" customHeight="1" x14ac:dyDescent="0.3">
      <c r="A67" s="13"/>
      <c r="B67" s="93" t="s">
        <v>57</v>
      </c>
      <c r="C67" s="94"/>
      <c r="D67" s="11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57"/>
      <c r="Q67" s="157"/>
      <c r="R67" s="157"/>
      <c r="S67" s="157"/>
      <c r="T67" s="157"/>
      <c r="U67" s="158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</row>
    <row r="68" spans="1:752" s="24" customFormat="1" ht="15" customHeight="1" x14ac:dyDescent="0.3">
      <c r="A68" s="13"/>
      <c r="B68" s="29" t="s">
        <v>73</v>
      </c>
      <c r="C68" s="121"/>
      <c r="D68" s="98" t="s">
        <v>18</v>
      </c>
      <c r="E68" s="174">
        <f t="shared" ref="E68:U68" si="60">4*PI()*$C$18*(($C$16+$C$15)/2-$M$18)/(1/$M$19*LN(E28/E26))/1000</f>
        <v>13.339489227981414</v>
      </c>
      <c r="F68" s="175">
        <f t="shared" si="60"/>
        <v>15.880812790476901</v>
      </c>
      <c r="G68" s="175">
        <f t="shared" si="60"/>
        <v>17.376364894545492</v>
      </c>
      <c r="H68" s="175">
        <f t="shared" si="60"/>
        <v>19.757152389559373</v>
      </c>
      <c r="I68" s="175">
        <f t="shared" si="60"/>
        <v>22.303803773332334</v>
      </c>
      <c r="J68" s="175">
        <f t="shared" si="60"/>
        <v>25.280686499353319</v>
      </c>
      <c r="K68" s="175">
        <f t="shared" si="60"/>
        <v>26.631036912681925</v>
      </c>
      <c r="L68" s="175">
        <f t="shared" si="60"/>
        <v>27.738741993812656</v>
      </c>
      <c r="M68" s="175">
        <f t="shared" si="60"/>
        <v>32.281610744653896</v>
      </c>
      <c r="N68" s="175">
        <f t="shared" si="60"/>
        <v>36.906075429351297</v>
      </c>
      <c r="O68" s="175">
        <f t="shared" si="60"/>
        <v>38.928991201477828</v>
      </c>
      <c r="P68" s="175">
        <f t="shared" si="60"/>
        <v>37.590304563287951</v>
      </c>
      <c r="Q68" s="175">
        <f t="shared" si="60"/>
        <v>43.270107280739659</v>
      </c>
      <c r="R68" s="175">
        <f t="shared" si="60"/>
        <v>41.368578340045367</v>
      </c>
      <c r="S68" s="175">
        <f t="shared" si="60"/>
        <v>42.854696048377924</v>
      </c>
      <c r="T68" s="175">
        <f t="shared" si="60"/>
        <v>49.159729798956697</v>
      </c>
      <c r="U68" s="176">
        <f t="shared" si="60"/>
        <v>41.36857834004536</v>
      </c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  <c r="XW68" s="13"/>
      <c r="XX68" s="13"/>
      <c r="XY68" s="13"/>
      <c r="XZ68" s="13"/>
      <c r="YA68" s="13"/>
      <c r="YB68" s="13"/>
      <c r="YC68" s="13"/>
      <c r="YD68" s="13"/>
      <c r="YE68" s="13"/>
      <c r="YF68" s="13"/>
      <c r="YG68" s="13"/>
      <c r="YH68" s="13"/>
      <c r="YI68" s="13"/>
      <c r="YJ68" s="13"/>
      <c r="YK68" s="13"/>
      <c r="YL68" s="13"/>
      <c r="YM68" s="13"/>
      <c r="YN68" s="13"/>
      <c r="YO68" s="13"/>
      <c r="YP68" s="13"/>
      <c r="YQ68" s="13"/>
      <c r="YR68" s="13"/>
      <c r="YS68" s="13"/>
      <c r="YT68" s="13"/>
      <c r="YU68" s="13"/>
      <c r="YV68" s="13"/>
      <c r="YW68" s="13"/>
      <c r="YX68" s="13"/>
      <c r="YY68" s="13"/>
      <c r="YZ68" s="13"/>
      <c r="ZA68" s="13"/>
      <c r="ZB68" s="13"/>
      <c r="ZC68" s="13"/>
      <c r="ZD68" s="13"/>
      <c r="ZE68" s="13"/>
      <c r="ZF68" s="13"/>
      <c r="ZG68" s="13"/>
      <c r="ZH68" s="13"/>
      <c r="ZI68" s="13"/>
      <c r="ZJ68" s="13"/>
      <c r="ZK68" s="13"/>
      <c r="ZL68" s="13"/>
      <c r="ZM68" s="13"/>
      <c r="ZN68" s="13"/>
      <c r="ZO68" s="13"/>
      <c r="ZP68" s="13"/>
      <c r="ZQ68" s="13"/>
      <c r="ZR68" s="13"/>
      <c r="ZS68" s="13"/>
      <c r="ZT68" s="13"/>
      <c r="ZU68" s="13"/>
      <c r="ZV68" s="13"/>
      <c r="ZW68" s="13"/>
      <c r="ZX68" s="13"/>
      <c r="ZY68" s="13"/>
      <c r="ZZ68" s="13"/>
      <c r="AAA68" s="13"/>
      <c r="AAB68" s="13"/>
      <c r="AAC68" s="13"/>
      <c r="AAD68" s="13"/>
      <c r="AAE68" s="13"/>
      <c r="AAF68" s="13"/>
      <c r="AAG68" s="13"/>
      <c r="AAH68" s="13"/>
      <c r="AAI68" s="13"/>
      <c r="AAJ68" s="13"/>
      <c r="AAK68" s="13"/>
      <c r="AAL68" s="13"/>
      <c r="AAM68" s="13"/>
      <c r="AAN68" s="13"/>
      <c r="AAO68" s="13"/>
      <c r="AAP68" s="13"/>
      <c r="AAQ68" s="13"/>
      <c r="AAR68" s="13"/>
      <c r="AAS68" s="13"/>
      <c r="AAT68" s="13"/>
      <c r="AAU68" s="13"/>
      <c r="AAV68" s="13"/>
      <c r="AAW68" s="13"/>
      <c r="AAX68" s="13"/>
      <c r="AAY68" s="13"/>
      <c r="AAZ68" s="13"/>
      <c r="ABA68" s="13"/>
      <c r="ABB68" s="13"/>
      <c r="ABC68" s="13"/>
      <c r="ABD68" s="13"/>
      <c r="ABE68" s="13"/>
      <c r="ABF68" s="13"/>
      <c r="ABG68" s="13"/>
      <c r="ABH68" s="13"/>
      <c r="ABI68" s="13"/>
      <c r="ABJ68" s="13"/>
      <c r="ABK68" s="13"/>
      <c r="ABL68" s="13"/>
      <c r="ABM68" s="13"/>
      <c r="ABN68" s="13"/>
      <c r="ABO68" s="13"/>
      <c r="ABP68" s="13"/>
      <c r="ABQ68" s="13"/>
      <c r="ABR68" s="13"/>
      <c r="ABS68" s="13"/>
      <c r="ABT68" s="13"/>
      <c r="ABU68" s="13"/>
      <c r="ABV68" s="13"/>
      <c r="ABW68" s="13"/>
      <c r="ABX68" s="13"/>
    </row>
    <row r="69" spans="1:752" s="24" customFormat="1" ht="15" customHeight="1" x14ac:dyDescent="0.3">
      <c r="A69" s="13"/>
      <c r="B69" s="29" t="s">
        <v>74</v>
      </c>
      <c r="C69" s="121"/>
      <c r="D69" s="98" t="s">
        <v>18</v>
      </c>
      <c r="E69" s="174">
        <f t="shared" ref="E69:U69" si="61">4*PI()*$C$18*(($C$16+$C$15)/2-$M$18)/(1/$M$19*LN(E28/E26)+1/$M$20*LN((4*($M$21*1000+E28/2))/(E28/2)))/1000</f>
        <v>12.591086751166262</v>
      </c>
      <c r="F69" s="175">
        <f t="shared" si="61"/>
        <v>14.831306749519403</v>
      </c>
      <c r="G69" s="175">
        <f t="shared" si="61"/>
        <v>16.162658451687367</v>
      </c>
      <c r="H69" s="175">
        <f t="shared" si="61"/>
        <v>18.202948393249653</v>
      </c>
      <c r="I69" s="175">
        <f t="shared" si="61"/>
        <v>20.391826221096636</v>
      </c>
      <c r="J69" s="175">
        <f t="shared" si="61"/>
        <v>22.923777552307168</v>
      </c>
      <c r="K69" s="175">
        <f t="shared" si="61"/>
        <v>24.097483425948365</v>
      </c>
      <c r="L69" s="175">
        <f t="shared" si="61"/>
        <v>25.139362521279413</v>
      </c>
      <c r="M69" s="175">
        <f t="shared" si="61"/>
        <v>28.898786601421357</v>
      </c>
      <c r="N69" s="175">
        <f t="shared" si="61"/>
        <v>32.663869440557434</v>
      </c>
      <c r="O69" s="175">
        <f t="shared" si="61"/>
        <v>34.494469292571232</v>
      </c>
      <c r="P69" s="175">
        <f t="shared" si="61"/>
        <v>33.670178986120689</v>
      </c>
      <c r="Q69" s="175">
        <f t="shared" si="61"/>
        <v>38.283625903741047</v>
      </c>
      <c r="R69" s="175">
        <f t="shared" si="61"/>
        <v>36.910690276751751</v>
      </c>
      <c r="S69" s="175">
        <f t="shared" si="61"/>
        <v>38.221487195321416</v>
      </c>
      <c r="T69" s="175">
        <f t="shared" si="61"/>
        <v>43.244320513149752</v>
      </c>
      <c r="U69" s="176">
        <f t="shared" si="61"/>
        <v>37.273794873120437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  <c r="ABI69" s="13"/>
      <c r="ABJ69" s="13"/>
      <c r="ABK69" s="13"/>
      <c r="ABL69" s="13"/>
      <c r="ABM69" s="13"/>
      <c r="ABN69" s="13"/>
      <c r="ABO69" s="13"/>
      <c r="ABP69" s="13"/>
      <c r="ABQ69" s="13"/>
      <c r="ABR69" s="13"/>
      <c r="ABS69" s="13"/>
      <c r="ABT69" s="13"/>
      <c r="ABU69" s="13"/>
      <c r="ABV69" s="13"/>
      <c r="ABW69" s="13"/>
      <c r="ABX69" s="13"/>
    </row>
    <row r="70" spans="1:752" s="24" customFormat="1" ht="15" customHeight="1" x14ac:dyDescent="0.3">
      <c r="A70" s="13"/>
      <c r="B70" s="29" t="s">
        <v>75</v>
      </c>
      <c r="C70" s="121"/>
      <c r="D70" s="98" t="s">
        <v>2</v>
      </c>
      <c r="E70" s="178">
        <f>E69*8760</f>
        <v>110297.91994021645</v>
      </c>
      <c r="F70" s="179">
        <f t="shared" ref="F70:N70" si="62">F69*8760</f>
        <v>129922.24712578997</v>
      </c>
      <c r="G70" s="179">
        <f t="shared" si="62"/>
        <v>141584.88803678134</v>
      </c>
      <c r="H70" s="179">
        <f t="shared" si="62"/>
        <v>159457.82792486696</v>
      </c>
      <c r="I70" s="179">
        <f t="shared" si="62"/>
        <v>178632.39769680653</v>
      </c>
      <c r="J70" s="179">
        <f t="shared" si="62"/>
        <v>200812.29135821079</v>
      </c>
      <c r="K70" s="179">
        <f t="shared" si="62"/>
        <v>211093.95481130769</v>
      </c>
      <c r="L70" s="179">
        <f t="shared" si="62"/>
        <v>220220.81568640764</v>
      </c>
      <c r="M70" s="179">
        <f t="shared" si="62"/>
        <v>253153.37062845108</v>
      </c>
      <c r="N70" s="179">
        <f t="shared" si="62"/>
        <v>286135.49629928311</v>
      </c>
      <c r="O70" s="179">
        <f t="shared" ref="O70" si="63">O69*8760</f>
        <v>302171.55100292398</v>
      </c>
      <c r="P70" s="179">
        <f t="shared" ref="P70:U70" si="64">P69*8760</f>
        <v>294950.76791841723</v>
      </c>
      <c r="Q70" s="179">
        <f t="shared" si="64"/>
        <v>335364.56291677157</v>
      </c>
      <c r="R70" s="179">
        <f t="shared" si="64"/>
        <v>323337.64682434534</v>
      </c>
      <c r="S70" s="179">
        <f t="shared" si="64"/>
        <v>334820.2278310156</v>
      </c>
      <c r="T70" s="179">
        <f t="shared" si="64"/>
        <v>378820.24769519182</v>
      </c>
      <c r="U70" s="180">
        <f t="shared" si="64"/>
        <v>326518.44308853504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  <c r="XW70" s="13"/>
      <c r="XX70" s="13"/>
      <c r="XY70" s="13"/>
      <c r="XZ70" s="13"/>
      <c r="YA70" s="13"/>
      <c r="YB70" s="13"/>
      <c r="YC70" s="13"/>
      <c r="YD70" s="13"/>
      <c r="YE70" s="13"/>
      <c r="YF70" s="13"/>
      <c r="YG70" s="13"/>
      <c r="YH70" s="13"/>
      <c r="YI70" s="13"/>
      <c r="YJ70" s="13"/>
      <c r="YK70" s="13"/>
      <c r="YL70" s="13"/>
      <c r="YM70" s="13"/>
      <c r="YN70" s="13"/>
      <c r="YO70" s="13"/>
      <c r="YP70" s="13"/>
      <c r="YQ70" s="13"/>
      <c r="YR70" s="13"/>
      <c r="YS70" s="13"/>
      <c r="YT70" s="13"/>
      <c r="YU70" s="13"/>
      <c r="YV70" s="13"/>
      <c r="YW70" s="13"/>
      <c r="YX70" s="13"/>
      <c r="YY70" s="13"/>
      <c r="YZ70" s="13"/>
      <c r="ZA70" s="13"/>
      <c r="ZB70" s="13"/>
      <c r="ZC70" s="13"/>
      <c r="ZD70" s="13"/>
      <c r="ZE70" s="13"/>
      <c r="ZF70" s="13"/>
      <c r="ZG70" s="13"/>
      <c r="ZH70" s="13"/>
      <c r="ZI70" s="13"/>
      <c r="ZJ70" s="13"/>
      <c r="ZK70" s="13"/>
      <c r="ZL70" s="13"/>
      <c r="ZM70" s="13"/>
      <c r="ZN70" s="13"/>
      <c r="ZO70" s="13"/>
      <c r="ZP70" s="13"/>
      <c r="ZQ70" s="13"/>
      <c r="ZR70" s="13"/>
      <c r="ZS70" s="13"/>
      <c r="ZT70" s="13"/>
      <c r="ZU70" s="13"/>
      <c r="ZV70" s="13"/>
      <c r="ZW70" s="13"/>
      <c r="ZX70" s="13"/>
      <c r="ZY70" s="13"/>
      <c r="ZZ70" s="13"/>
      <c r="AAA70" s="13"/>
      <c r="AAB70" s="13"/>
      <c r="AAC70" s="13"/>
      <c r="AAD70" s="13"/>
      <c r="AAE70" s="13"/>
      <c r="AAF70" s="13"/>
      <c r="AAG70" s="13"/>
      <c r="AAH70" s="13"/>
      <c r="AAI70" s="13"/>
      <c r="AAJ70" s="13"/>
      <c r="AAK70" s="13"/>
      <c r="AAL70" s="13"/>
      <c r="AAM70" s="13"/>
      <c r="AAN70" s="13"/>
      <c r="AAO70" s="13"/>
      <c r="AAP70" s="13"/>
      <c r="AAQ70" s="13"/>
      <c r="AAR70" s="13"/>
      <c r="AAS70" s="13"/>
      <c r="AAT70" s="13"/>
      <c r="AAU70" s="13"/>
      <c r="AAV70" s="13"/>
      <c r="AAW70" s="13"/>
      <c r="AAX70" s="13"/>
      <c r="AAY70" s="13"/>
      <c r="AAZ70" s="13"/>
      <c r="ABA70" s="13"/>
      <c r="ABB70" s="13"/>
      <c r="ABC70" s="13"/>
      <c r="ABD70" s="13"/>
      <c r="ABE70" s="13"/>
      <c r="ABF70" s="13"/>
      <c r="ABG70" s="13"/>
      <c r="ABH70" s="13"/>
      <c r="ABI70" s="13"/>
      <c r="ABJ70" s="13"/>
      <c r="ABK70" s="13"/>
      <c r="ABL70" s="13"/>
      <c r="ABM70" s="13"/>
      <c r="ABN70" s="13"/>
      <c r="ABO70" s="13"/>
      <c r="ABP70" s="13"/>
      <c r="ABQ70" s="13"/>
      <c r="ABR70" s="13"/>
      <c r="ABS70" s="13"/>
      <c r="ABT70" s="13"/>
      <c r="ABU70" s="13"/>
      <c r="ABV70" s="13"/>
      <c r="ABW70" s="13"/>
      <c r="ABX70" s="13"/>
    </row>
    <row r="71" spans="1:752" s="24" customFormat="1" ht="15" customHeight="1" x14ac:dyDescent="0.3">
      <c r="A71" s="13"/>
      <c r="B71" s="31" t="s">
        <v>76</v>
      </c>
      <c r="C71" s="42"/>
      <c r="D71" s="102" t="s">
        <v>109</v>
      </c>
      <c r="E71" s="104">
        <f t="shared" ref="E71:P71" si="65">E70*$H$22/(100*$H$15/100)</f>
        <v>6488.112937659791</v>
      </c>
      <c r="F71" s="104">
        <f t="shared" si="65"/>
        <v>7642.485125046469</v>
      </c>
      <c r="G71" s="104">
        <f t="shared" si="65"/>
        <v>8328.5228256930204</v>
      </c>
      <c r="H71" s="104">
        <f t="shared" si="65"/>
        <v>9379.8722308745273</v>
      </c>
      <c r="I71" s="104">
        <f t="shared" si="65"/>
        <v>10507.788099812149</v>
      </c>
      <c r="J71" s="104">
        <f t="shared" si="65"/>
        <v>11812.487726953575</v>
      </c>
      <c r="K71" s="104">
        <f t="shared" si="65"/>
        <v>12417.291459488688</v>
      </c>
      <c r="L71" s="104">
        <f t="shared" si="65"/>
        <v>12954.165628612214</v>
      </c>
      <c r="M71" s="104">
        <f t="shared" si="65"/>
        <v>14891.374742850065</v>
      </c>
      <c r="N71" s="104">
        <f t="shared" si="65"/>
        <v>16831.49978231077</v>
      </c>
      <c r="O71" s="104">
        <f t="shared" si="65"/>
        <v>17774.797117819056</v>
      </c>
      <c r="P71" s="143">
        <f t="shared" si="65"/>
        <v>17350.045171671602</v>
      </c>
      <c r="Q71" s="143">
        <f t="shared" ref="Q71:U71" si="66">Q70*$H$22/(100*$H$15/100)</f>
        <v>19727.327230398329</v>
      </c>
      <c r="R71" s="143">
        <f t="shared" si="66"/>
        <v>19019.86157790267</v>
      </c>
      <c r="S71" s="143">
        <f t="shared" si="66"/>
        <v>19695.307519471506</v>
      </c>
      <c r="T71" s="143">
        <f t="shared" si="66"/>
        <v>22283.543982070107</v>
      </c>
      <c r="U71" s="144">
        <f t="shared" si="66"/>
        <v>19206.967240502061</v>
      </c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</row>
    <row r="72" spans="1:752" s="24" customFormat="1" ht="15" customHeight="1" x14ac:dyDescent="0.3">
      <c r="A72" s="13"/>
      <c r="B72" s="37" t="s">
        <v>76</v>
      </c>
      <c r="C72" s="47"/>
      <c r="D72" s="90" t="s">
        <v>7</v>
      </c>
      <c r="E72" s="91">
        <f t="shared" ref="E72:U72" si="67">E71*100/($C$21*1000)</f>
        <v>0.18795228672247366</v>
      </c>
      <c r="F72" s="91">
        <f t="shared" si="67"/>
        <v>0.22139296422498461</v>
      </c>
      <c r="G72" s="91">
        <f t="shared" si="67"/>
        <v>0.24126659402355216</v>
      </c>
      <c r="H72" s="91">
        <f t="shared" si="67"/>
        <v>0.2717228340346039</v>
      </c>
      <c r="I72" s="91">
        <f t="shared" si="67"/>
        <v>0.30439710602005066</v>
      </c>
      <c r="J72" s="91">
        <f t="shared" si="67"/>
        <v>0.34219257609946624</v>
      </c>
      <c r="K72" s="91">
        <f t="shared" si="67"/>
        <v>0.35971296232585998</v>
      </c>
      <c r="L72" s="91">
        <f t="shared" si="67"/>
        <v>0.37526551647196449</v>
      </c>
      <c r="M72" s="91">
        <f t="shared" si="67"/>
        <v>0.43138397285197178</v>
      </c>
      <c r="N72" s="91">
        <f t="shared" si="67"/>
        <v>0.48758689983519032</v>
      </c>
      <c r="O72" s="91">
        <f t="shared" si="67"/>
        <v>0.51491301036555781</v>
      </c>
      <c r="P72" s="91">
        <f t="shared" si="67"/>
        <v>0.50260849280624564</v>
      </c>
      <c r="Q72" s="91">
        <f t="shared" si="67"/>
        <v>0.57147529636148109</v>
      </c>
      <c r="R72" s="91">
        <f t="shared" si="67"/>
        <v>0.55098092635870999</v>
      </c>
      <c r="S72" s="91">
        <f t="shared" si="67"/>
        <v>0.57054772652003205</v>
      </c>
      <c r="T72" s="91">
        <f t="shared" si="67"/>
        <v>0.64552560782358359</v>
      </c>
      <c r="U72" s="92">
        <f t="shared" si="67"/>
        <v>0.55640113674687319</v>
      </c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  <c r="XW72" s="13"/>
      <c r="XX72" s="13"/>
      <c r="XY72" s="13"/>
      <c r="XZ72" s="13"/>
      <c r="YA72" s="13"/>
      <c r="YB72" s="13"/>
      <c r="YC72" s="13"/>
      <c r="YD72" s="13"/>
      <c r="YE72" s="13"/>
      <c r="YF72" s="13"/>
      <c r="YG72" s="13"/>
      <c r="YH72" s="13"/>
      <c r="YI72" s="13"/>
      <c r="YJ72" s="13"/>
      <c r="YK72" s="13"/>
      <c r="YL72" s="13"/>
      <c r="YM72" s="13"/>
      <c r="YN72" s="13"/>
      <c r="YO72" s="13"/>
      <c r="YP72" s="13"/>
      <c r="YQ72" s="13"/>
      <c r="YR72" s="13"/>
      <c r="YS72" s="13"/>
      <c r="YT72" s="13"/>
      <c r="YU72" s="13"/>
      <c r="YV72" s="13"/>
      <c r="YW72" s="13"/>
      <c r="YX72" s="13"/>
      <c r="YY72" s="13"/>
      <c r="YZ72" s="13"/>
      <c r="ZA72" s="13"/>
      <c r="ZB72" s="13"/>
      <c r="ZC72" s="13"/>
      <c r="ZD72" s="13"/>
      <c r="ZE72" s="13"/>
      <c r="ZF72" s="13"/>
      <c r="ZG72" s="13"/>
      <c r="ZH72" s="13"/>
      <c r="ZI72" s="13"/>
      <c r="ZJ72" s="13"/>
      <c r="ZK72" s="13"/>
      <c r="ZL72" s="13"/>
      <c r="ZM72" s="13"/>
      <c r="ZN72" s="13"/>
      <c r="ZO72" s="13"/>
      <c r="ZP72" s="13"/>
      <c r="ZQ72" s="13"/>
      <c r="ZR72" s="13"/>
      <c r="ZS72" s="13"/>
      <c r="ZT72" s="13"/>
      <c r="ZU72" s="13"/>
      <c r="ZV72" s="13"/>
      <c r="ZW72" s="13"/>
      <c r="ZX72" s="13"/>
      <c r="ZY72" s="13"/>
      <c r="ZZ72" s="13"/>
      <c r="AAA72" s="13"/>
      <c r="AAB72" s="13"/>
      <c r="AAC72" s="13"/>
      <c r="AAD72" s="13"/>
      <c r="AAE72" s="13"/>
      <c r="AAF72" s="13"/>
      <c r="AAG72" s="13"/>
      <c r="AAH72" s="13"/>
      <c r="AAI72" s="13"/>
      <c r="AAJ72" s="13"/>
      <c r="AAK72" s="13"/>
      <c r="AAL72" s="13"/>
      <c r="AAM72" s="13"/>
      <c r="AAN72" s="13"/>
      <c r="AAO72" s="13"/>
      <c r="AAP72" s="13"/>
      <c r="AAQ72" s="13"/>
      <c r="AAR72" s="13"/>
      <c r="AAS72" s="13"/>
      <c r="AAT72" s="13"/>
      <c r="AAU72" s="13"/>
      <c r="AAV72" s="13"/>
      <c r="AAW72" s="13"/>
      <c r="AAX72" s="13"/>
      <c r="AAY72" s="13"/>
      <c r="AAZ72" s="13"/>
      <c r="ABA72" s="13"/>
      <c r="ABB72" s="13"/>
      <c r="ABC72" s="13"/>
      <c r="ABD72" s="13"/>
      <c r="ABE72" s="13"/>
      <c r="ABF72" s="13"/>
      <c r="ABG72" s="13"/>
      <c r="ABH72" s="13"/>
      <c r="ABI72" s="13"/>
      <c r="ABJ72" s="13"/>
      <c r="ABK72" s="13"/>
      <c r="ABL72" s="13"/>
      <c r="ABM72" s="13"/>
      <c r="ABN72" s="13"/>
      <c r="ABO72" s="13"/>
      <c r="ABP72" s="13"/>
      <c r="ABQ72" s="13"/>
      <c r="ABR72" s="13"/>
      <c r="ABS72" s="13"/>
      <c r="ABT72" s="13"/>
      <c r="ABU72" s="13"/>
      <c r="ABV72" s="13"/>
      <c r="ABW72" s="13"/>
      <c r="ABX72" s="13"/>
    </row>
    <row r="73" spans="1:752" s="24" customFormat="1" ht="1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</row>
    <row r="74" spans="1:752" s="24" customFormat="1" ht="15" customHeight="1" x14ac:dyDescent="0.3">
      <c r="A74" s="13"/>
      <c r="B74" s="93" t="s">
        <v>26</v>
      </c>
      <c r="C74" s="94"/>
      <c r="D74" s="110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55"/>
      <c r="Q74" s="155"/>
      <c r="R74" s="155"/>
      <c r="S74" s="155"/>
      <c r="T74" s="155"/>
      <c r="U74" s="156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  <c r="ABI74" s="13"/>
      <c r="ABJ74" s="13"/>
      <c r="ABK74" s="13"/>
      <c r="ABL74" s="13"/>
      <c r="ABM74" s="13"/>
      <c r="ABN74" s="13"/>
      <c r="ABO74" s="13"/>
      <c r="ABP74" s="13"/>
      <c r="ABQ74" s="13"/>
      <c r="ABR74" s="13"/>
      <c r="ABS74" s="13"/>
      <c r="ABT74" s="13"/>
      <c r="ABU74" s="13"/>
      <c r="ABV74" s="13"/>
      <c r="ABW74" s="13"/>
      <c r="ABX74" s="13"/>
    </row>
    <row r="75" spans="1:752" s="24" customFormat="1" ht="15" customHeight="1" x14ac:dyDescent="0.3">
      <c r="A75" s="13"/>
      <c r="B75" s="200" t="s">
        <v>82</v>
      </c>
      <c r="C75" s="201"/>
      <c r="D75" s="98" t="s">
        <v>109</v>
      </c>
      <c r="E75" s="181">
        <f>E56*$H$23/100</f>
        <v>4225.4319999999998</v>
      </c>
      <c r="F75" s="182">
        <f t="shared" ref="F75:P75" si="68">F56*$H$23/100</f>
        <v>4423.3270000000011</v>
      </c>
      <c r="G75" s="182">
        <f t="shared" si="68"/>
        <v>4885.9490000000005</v>
      </c>
      <c r="H75" s="182">
        <f t="shared" si="68"/>
        <v>5524.2400000000016</v>
      </c>
      <c r="I75" s="182">
        <f t="shared" si="68"/>
        <v>6037.45</v>
      </c>
      <c r="J75" s="182">
        <f t="shared" si="68"/>
        <v>6489.6770000000042</v>
      </c>
      <c r="K75" s="182">
        <f t="shared" si="68"/>
        <v>7059.7029999999913</v>
      </c>
      <c r="L75" s="182">
        <f t="shared" si="68"/>
        <v>7953.8139999999885</v>
      </c>
      <c r="M75" s="182">
        <f t="shared" si="68"/>
        <v>9340.2199999999903</v>
      </c>
      <c r="N75" s="182">
        <f t="shared" si="68"/>
        <v>11305.075000000001</v>
      </c>
      <c r="O75" s="182">
        <f t="shared" si="68"/>
        <v>13830.097000000031</v>
      </c>
      <c r="P75" s="183">
        <f t="shared" si="68"/>
        <v>16791.787999999982</v>
      </c>
      <c r="Q75" s="183">
        <f t="shared" ref="Q75:U75" si="69">Q56*$H$23/100</f>
        <v>19982.25400000003</v>
      </c>
      <c r="R75" s="183">
        <f t="shared" si="69"/>
        <v>23151.624999999927</v>
      </c>
      <c r="S75" s="183">
        <f t="shared" si="69"/>
        <v>26072.075000000001</v>
      </c>
      <c r="T75" s="183">
        <f t="shared" si="69"/>
        <v>28623.442000000006</v>
      </c>
      <c r="U75" s="184">
        <f t="shared" si="69"/>
        <v>30900.447999999658</v>
      </c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  <c r="IX75" s="13"/>
      <c r="IY75" s="13"/>
      <c r="IZ75" s="13"/>
      <c r="JA75" s="13"/>
      <c r="JB75" s="13"/>
      <c r="JC75" s="13"/>
      <c r="JD75" s="13"/>
      <c r="JE75" s="13"/>
      <c r="JF75" s="13"/>
      <c r="JG75" s="13"/>
      <c r="JH75" s="13"/>
      <c r="JI75" s="13"/>
      <c r="JJ75" s="13"/>
      <c r="JK75" s="13"/>
      <c r="JL75" s="13"/>
      <c r="JM75" s="13"/>
      <c r="JN75" s="13"/>
      <c r="JO75" s="13"/>
      <c r="JP75" s="13"/>
      <c r="JQ75" s="13"/>
      <c r="JR75" s="13"/>
      <c r="JS75" s="13"/>
      <c r="JT75" s="13"/>
      <c r="JU75" s="13"/>
      <c r="JV75" s="13"/>
      <c r="JW75" s="13"/>
      <c r="JX75" s="13"/>
      <c r="JY75" s="13"/>
      <c r="JZ75" s="13"/>
      <c r="KA75" s="13"/>
      <c r="KB75" s="13"/>
      <c r="KC75" s="13"/>
      <c r="KD75" s="13"/>
      <c r="KE75" s="13"/>
      <c r="KF75" s="13"/>
      <c r="KG75" s="13"/>
      <c r="KH75" s="13"/>
      <c r="KI75" s="13"/>
      <c r="KJ75" s="13"/>
      <c r="KK75" s="13"/>
      <c r="KL75" s="13"/>
      <c r="KM75" s="13"/>
      <c r="KN75" s="13"/>
      <c r="KO75" s="13"/>
      <c r="KP75" s="13"/>
      <c r="KQ75" s="13"/>
      <c r="KR75" s="13"/>
      <c r="KS75" s="13"/>
      <c r="KT75" s="13"/>
      <c r="KU75" s="13"/>
      <c r="KV75" s="13"/>
      <c r="KW75" s="13"/>
      <c r="KX75" s="13"/>
      <c r="KY75" s="13"/>
      <c r="KZ75" s="13"/>
      <c r="LA75" s="13"/>
      <c r="LB75" s="13"/>
      <c r="LC75" s="13"/>
      <c r="LD75" s="13"/>
      <c r="LE75" s="13"/>
      <c r="LF75" s="13"/>
      <c r="LG75" s="13"/>
      <c r="LH75" s="13"/>
      <c r="LI75" s="13"/>
      <c r="LJ75" s="13"/>
      <c r="LK75" s="13"/>
      <c r="LL75" s="13"/>
      <c r="LM75" s="13"/>
      <c r="LN75" s="13"/>
      <c r="LO75" s="13"/>
      <c r="LP75" s="13"/>
      <c r="LQ75" s="13"/>
      <c r="LR75" s="13"/>
      <c r="LS75" s="13"/>
      <c r="LT75" s="13"/>
      <c r="LU75" s="13"/>
      <c r="LV75" s="13"/>
      <c r="LW75" s="13"/>
      <c r="LX75" s="13"/>
      <c r="LY75" s="13"/>
      <c r="LZ75" s="13"/>
      <c r="MA75" s="13"/>
      <c r="MB75" s="13"/>
      <c r="MC75" s="13"/>
      <c r="MD75" s="13"/>
      <c r="ME75" s="13"/>
      <c r="MF75" s="13"/>
      <c r="MG75" s="13"/>
      <c r="MH75" s="13"/>
      <c r="MI75" s="13"/>
      <c r="MJ75" s="13"/>
      <c r="MK75" s="13"/>
      <c r="ML75" s="13"/>
      <c r="MM75" s="13"/>
      <c r="MN75" s="13"/>
      <c r="MO75" s="13"/>
      <c r="MP75" s="13"/>
      <c r="MQ75" s="13"/>
      <c r="MR75" s="13"/>
      <c r="MS75" s="13"/>
      <c r="MT75" s="13"/>
      <c r="MU75" s="13"/>
      <c r="MV75" s="13"/>
      <c r="MW75" s="13"/>
      <c r="MX75" s="13"/>
      <c r="MY75" s="13"/>
      <c r="MZ75" s="13"/>
      <c r="NA75" s="13"/>
      <c r="NB75" s="13"/>
      <c r="NC75" s="13"/>
      <c r="ND75" s="13"/>
      <c r="NE75" s="13"/>
      <c r="NF75" s="13"/>
      <c r="NG75" s="13"/>
      <c r="NH75" s="13"/>
      <c r="NI75" s="13"/>
      <c r="NJ75" s="13"/>
      <c r="NK75" s="13"/>
      <c r="NL75" s="13"/>
      <c r="NM75" s="13"/>
      <c r="NN75" s="13"/>
      <c r="NO75" s="13"/>
      <c r="NP75" s="13"/>
      <c r="NQ75" s="13"/>
      <c r="NR75" s="13"/>
      <c r="NS75" s="13"/>
      <c r="NT75" s="13"/>
      <c r="NU75" s="13"/>
      <c r="NV75" s="13"/>
      <c r="NW75" s="13"/>
      <c r="NX75" s="13"/>
      <c r="NY75" s="13"/>
      <c r="NZ75" s="13"/>
      <c r="OA75" s="13"/>
      <c r="OB75" s="13"/>
      <c r="OC75" s="13"/>
      <c r="OD75" s="13"/>
      <c r="OE75" s="13"/>
      <c r="OF75" s="13"/>
      <c r="OG75" s="13"/>
      <c r="OH75" s="13"/>
      <c r="OI75" s="13"/>
      <c r="OJ75" s="13"/>
      <c r="OK75" s="13"/>
      <c r="OL75" s="13"/>
      <c r="OM75" s="13"/>
      <c r="ON75" s="13"/>
      <c r="OO75" s="13"/>
      <c r="OP75" s="13"/>
      <c r="OQ75" s="13"/>
      <c r="OR75" s="13"/>
      <c r="OS75" s="13"/>
      <c r="OT75" s="13"/>
      <c r="OU75" s="13"/>
      <c r="OV75" s="13"/>
      <c r="OW75" s="13"/>
      <c r="OX75" s="13"/>
      <c r="OY75" s="13"/>
      <c r="OZ75" s="13"/>
      <c r="PA75" s="13"/>
      <c r="PB75" s="13"/>
      <c r="PC75" s="13"/>
      <c r="PD75" s="13"/>
      <c r="PE75" s="13"/>
      <c r="PF75" s="13"/>
      <c r="PG75" s="13"/>
      <c r="PH75" s="13"/>
      <c r="PI75" s="13"/>
      <c r="PJ75" s="13"/>
      <c r="PK75" s="13"/>
      <c r="PL75" s="13"/>
      <c r="PM75" s="13"/>
      <c r="PN75" s="13"/>
      <c r="PO75" s="13"/>
      <c r="PP75" s="13"/>
      <c r="PQ75" s="13"/>
      <c r="PR75" s="13"/>
      <c r="PS75" s="13"/>
      <c r="PT75" s="13"/>
      <c r="PU75" s="13"/>
      <c r="PV75" s="13"/>
      <c r="PW75" s="13"/>
      <c r="PX75" s="13"/>
      <c r="PY75" s="13"/>
      <c r="PZ75" s="13"/>
      <c r="QA75" s="13"/>
      <c r="QB75" s="13"/>
      <c r="QC75" s="13"/>
      <c r="QD75" s="13"/>
      <c r="QE75" s="13"/>
      <c r="QF75" s="13"/>
      <c r="QG75" s="13"/>
      <c r="QH75" s="13"/>
      <c r="QI75" s="13"/>
      <c r="QJ75" s="13"/>
      <c r="QK75" s="13"/>
      <c r="QL75" s="13"/>
      <c r="QM75" s="13"/>
      <c r="QN75" s="13"/>
      <c r="QO75" s="13"/>
      <c r="QP75" s="13"/>
      <c r="QQ75" s="13"/>
      <c r="QR75" s="13"/>
      <c r="QS75" s="13"/>
      <c r="QT75" s="13"/>
      <c r="QU75" s="13"/>
      <c r="QV75" s="13"/>
      <c r="QW75" s="13"/>
      <c r="QX75" s="13"/>
      <c r="QY75" s="13"/>
      <c r="QZ75" s="13"/>
      <c r="RA75" s="13"/>
      <c r="RB75" s="13"/>
      <c r="RC75" s="13"/>
      <c r="RD75" s="13"/>
      <c r="RE75" s="13"/>
      <c r="RF75" s="13"/>
      <c r="RG75" s="13"/>
      <c r="RH75" s="13"/>
      <c r="RI75" s="13"/>
      <c r="RJ75" s="13"/>
      <c r="RK75" s="13"/>
      <c r="RL75" s="13"/>
      <c r="RM75" s="13"/>
      <c r="RN75" s="13"/>
      <c r="RO75" s="13"/>
      <c r="RP75" s="13"/>
      <c r="RQ75" s="13"/>
      <c r="RR75" s="13"/>
      <c r="RS75" s="13"/>
      <c r="RT75" s="13"/>
      <c r="RU75" s="13"/>
      <c r="RV75" s="13"/>
      <c r="RW75" s="13"/>
      <c r="RX75" s="13"/>
      <c r="RY75" s="13"/>
      <c r="RZ75" s="13"/>
      <c r="SA75" s="13"/>
      <c r="SB75" s="13"/>
      <c r="SC75" s="13"/>
      <c r="SD75" s="13"/>
      <c r="SE75" s="13"/>
      <c r="SF75" s="13"/>
      <c r="SG75" s="13"/>
      <c r="SH75" s="13"/>
      <c r="SI75" s="13"/>
      <c r="SJ75" s="13"/>
      <c r="SK75" s="13"/>
      <c r="SL75" s="13"/>
      <c r="SM75" s="13"/>
      <c r="SN75" s="13"/>
      <c r="SO75" s="13"/>
      <c r="SP75" s="13"/>
      <c r="SQ75" s="13"/>
      <c r="SR75" s="13"/>
      <c r="SS75" s="13"/>
      <c r="ST75" s="13"/>
      <c r="SU75" s="13"/>
      <c r="SV75" s="13"/>
      <c r="SW75" s="13"/>
      <c r="SX75" s="13"/>
      <c r="SY75" s="13"/>
      <c r="SZ75" s="13"/>
      <c r="TA75" s="13"/>
      <c r="TB75" s="13"/>
      <c r="TC75" s="13"/>
      <c r="TD75" s="13"/>
      <c r="TE75" s="13"/>
      <c r="TF75" s="13"/>
      <c r="TG75" s="13"/>
      <c r="TH75" s="13"/>
      <c r="TI75" s="13"/>
      <c r="TJ75" s="13"/>
      <c r="TK75" s="13"/>
      <c r="TL75" s="13"/>
      <c r="TM75" s="13"/>
      <c r="TN75" s="13"/>
      <c r="TO75" s="13"/>
      <c r="TP75" s="13"/>
      <c r="TQ75" s="13"/>
      <c r="TR75" s="13"/>
      <c r="TS75" s="13"/>
      <c r="TT75" s="13"/>
      <c r="TU75" s="13"/>
      <c r="TV75" s="13"/>
      <c r="TW75" s="13"/>
      <c r="TX75" s="13"/>
      <c r="TY75" s="13"/>
      <c r="TZ75" s="13"/>
      <c r="UA75" s="13"/>
      <c r="UB75" s="13"/>
      <c r="UC75" s="13"/>
      <c r="UD75" s="13"/>
      <c r="UE75" s="13"/>
      <c r="UF75" s="13"/>
      <c r="UG75" s="13"/>
      <c r="UH75" s="13"/>
      <c r="UI75" s="13"/>
      <c r="UJ75" s="13"/>
      <c r="UK75" s="13"/>
      <c r="UL75" s="13"/>
      <c r="UM75" s="13"/>
      <c r="UN75" s="13"/>
      <c r="UO75" s="13"/>
      <c r="UP75" s="13"/>
      <c r="UQ75" s="13"/>
      <c r="UR75" s="13"/>
      <c r="US75" s="13"/>
      <c r="UT75" s="13"/>
      <c r="UU75" s="13"/>
      <c r="UV75" s="13"/>
      <c r="UW75" s="13"/>
      <c r="UX75" s="13"/>
      <c r="UY75" s="13"/>
      <c r="UZ75" s="13"/>
      <c r="VA75" s="13"/>
      <c r="VB75" s="13"/>
      <c r="VC75" s="13"/>
      <c r="VD75" s="13"/>
      <c r="VE75" s="13"/>
      <c r="VF75" s="13"/>
      <c r="VG75" s="13"/>
      <c r="VH75" s="13"/>
      <c r="VI75" s="13"/>
      <c r="VJ75" s="13"/>
      <c r="VK75" s="13"/>
      <c r="VL75" s="13"/>
      <c r="VM75" s="13"/>
      <c r="VN75" s="13"/>
      <c r="VO75" s="13"/>
      <c r="VP75" s="13"/>
      <c r="VQ75" s="13"/>
      <c r="VR75" s="13"/>
      <c r="VS75" s="13"/>
      <c r="VT75" s="13"/>
      <c r="VU75" s="13"/>
      <c r="VV75" s="13"/>
      <c r="VW75" s="13"/>
      <c r="VX75" s="13"/>
      <c r="VY75" s="13"/>
      <c r="VZ75" s="13"/>
      <c r="WA75" s="13"/>
      <c r="WB75" s="13"/>
      <c r="WC75" s="13"/>
      <c r="WD75" s="13"/>
      <c r="WE75" s="13"/>
      <c r="WF75" s="13"/>
      <c r="WG75" s="13"/>
      <c r="WH75" s="13"/>
      <c r="WI75" s="13"/>
      <c r="WJ75" s="13"/>
      <c r="WK75" s="13"/>
      <c r="WL75" s="13"/>
      <c r="WM75" s="13"/>
      <c r="WN75" s="13"/>
      <c r="WO75" s="13"/>
      <c r="WP75" s="13"/>
      <c r="WQ75" s="13"/>
      <c r="WR75" s="13"/>
      <c r="WS75" s="13"/>
      <c r="WT75" s="13"/>
      <c r="WU75" s="13"/>
      <c r="WV75" s="13"/>
      <c r="WW75" s="13"/>
      <c r="WX75" s="13"/>
      <c r="WY75" s="13"/>
      <c r="WZ75" s="13"/>
      <c r="XA75" s="13"/>
      <c r="XB75" s="13"/>
      <c r="XC75" s="13"/>
      <c r="XD75" s="13"/>
      <c r="XE75" s="13"/>
      <c r="XF75" s="13"/>
      <c r="XG75" s="13"/>
      <c r="XH75" s="13"/>
      <c r="XI75" s="13"/>
      <c r="XJ75" s="13"/>
      <c r="XK75" s="13"/>
      <c r="XL75" s="13"/>
      <c r="XM75" s="13"/>
      <c r="XN75" s="13"/>
      <c r="XO75" s="13"/>
      <c r="XP75" s="13"/>
      <c r="XQ75" s="13"/>
      <c r="XR75" s="13"/>
      <c r="XS75" s="13"/>
      <c r="XT75" s="13"/>
      <c r="XU75" s="13"/>
      <c r="XV75" s="13"/>
      <c r="XW75" s="13"/>
      <c r="XX75" s="13"/>
      <c r="XY75" s="13"/>
      <c r="XZ75" s="13"/>
      <c r="YA75" s="13"/>
      <c r="YB75" s="13"/>
      <c r="YC75" s="13"/>
      <c r="YD75" s="13"/>
      <c r="YE75" s="13"/>
      <c r="YF75" s="13"/>
      <c r="YG75" s="13"/>
      <c r="YH75" s="13"/>
      <c r="YI75" s="13"/>
      <c r="YJ75" s="13"/>
      <c r="YK75" s="13"/>
      <c r="YL75" s="13"/>
      <c r="YM75" s="13"/>
      <c r="YN75" s="13"/>
      <c r="YO75" s="13"/>
      <c r="YP75" s="13"/>
      <c r="YQ75" s="13"/>
      <c r="YR75" s="13"/>
      <c r="YS75" s="13"/>
      <c r="YT75" s="13"/>
      <c r="YU75" s="13"/>
      <c r="YV75" s="13"/>
      <c r="YW75" s="13"/>
      <c r="YX75" s="13"/>
      <c r="YY75" s="13"/>
      <c r="YZ75" s="13"/>
      <c r="ZA75" s="13"/>
      <c r="ZB75" s="13"/>
      <c r="ZC75" s="13"/>
      <c r="ZD75" s="13"/>
      <c r="ZE75" s="13"/>
      <c r="ZF75" s="13"/>
      <c r="ZG75" s="13"/>
      <c r="ZH75" s="13"/>
      <c r="ZI75" s="13"/>
      <c r="ZJ75" s="13"/>
      <c r="ZK75" s="13"/>
      <c r="ZL75" s="13"/>
      <c r="ZM75" s="13"/>
      <c r="ZN75" s="13"/>
      <c r="ZO75" s="13"/>
      <c r="ZP75" s="13"/>
      <c r="ZQ75" s="13"/>
      <c r="ZR75" s="13"/>
      <c r="ZS75" s="13"/>
      <c r="ZT75" s="13"/>
      <c r="ZU75" s="13"/>
      <c r="ZV75" s="13"/>
      <c r="ZW75" s="13"/>
      <c r="ZX75" s="13"/>
      <c r="ZY75" s="13"/>
      <c r="ZZ75" s="13"/>
      <c r="AAA75" s="13"/>
      <c r="AAB75" s="13"/>
      <c r="AAC75" s="13"/>
      <c r="AAD75" s="13"/>
      <c r="AAE75" s="13"/>
      <c r="AAF75" s="13"/>
      <c r="AAG75" s="13"/>
      <c r="AAH75" s="13"/>
      <c r="AAI75" s="13"/>
      <c r="AAJ75" s="13"/>
      <c r="AAK75" s="13"/>
      <c r="AAL75" s="13"/>
      <c r="AAM75" s="13"/>
      <c r="AAN75" s="13"/>
      <c r="AAO75" s="13"/>
      <c r="AAP75" s="13"/>
      <c r="AAQ75" s="13"/>
      <c r="AAR75" s="13"/>
      <c r="AAS75" s="13"/>
      <c r="AAT75" s="13"/>
      <c r="AAU75" s="13"/>
      <c r="AAV75" s="13"/>
      <c r="AAW75" s="13"/>
      <c r="AAX75" s="13"/>
      <c r="AAY75" s="13"/>
      <c r="AAZ75" s="13"/>
      <c r="ABA75" s="13"/>
      <c r="ABB75" s="13"/>
      <c r="ABC75" s="13"/>
      <c r="ABD75" s="13"/>
      <c r="ABE75" s="13"/>
      <c r="ABF75" s="13"/>
      <c r="ABG75" s="13"/>
      <c r="ABH75" s="13"/>
      <c r="ABI75" s="13"/>
      <c r="ABJ75" s="13"/>
      <c r="ABK75" s="13"/>
      <c r="ABL75" s="13"/>
      <c r="ABM75" s="13"/>
      <c r="ABN75" s="13"/>
      <c r="ABO75" s="13"/>
      <c r="ABP75" s="13"/>
      <c r="ABQ75" s="13"/>
      <c r="ABR75" s="13"/>
      <c r="ABS75" s="13"/>
      <c r="ABT75" s="13"/>
      <c r="ABU75" s="13"/>
      <c r="ABV75" s="13"/>
      <c r="ABW75" s="13"/>
      <c r="ABX75" s="13"/>
    </row>
    <row r="76" spans="1:752" s="24" customFormat="1" ht="15" customHeight="1" x14ac:dyDescent="0.3">
      <c r="A76" s="13"/>
      <c r="B76" s="31" t="s">
        <v>26</v>
      </c>
      <c r="C76" s="122"/>
      <c r="D76" s="123" t="s">
        <v>109</v>
      </c>
      <c r="E76" s="105">
        <f>E75</f>
        <v>4225.4319999999998</v>
      </c>
      <c r="F76" s="105">
        <f t="shared" ref="F76:N76" si="70">F75</f>
        <v>4423.3270000000011</v>
      </c>
      <c r="G76" s="105">
        <f t="shared" si="70"/>
        <v>4885.9490000000005</v>
      </c>
      <c r="H76" s="105">
        <f t="shared" si="70"/>
        <v>5524.2400000000016</v>
      </c>
      <c r="I76" s="105">
        <f t="shared" si="70"/>
        <v>6037.45</v>
      </c>
      <c r="J76" s="105">
        <f t="shared" si="70"/>
        <v>6489.6770000000042</v>
      </c>
      <c r="K76" s="105">
        <f t="shared" si="70"/>
        <v>7059.7029999999913</v>
      </c>
      <c r="L76" s="105">
        <f t="shared" si="70"/>
        <v>7953.8139999999885</v>
      </c>
      <c r="M76" s="105">
        <f t="shared" si="70"/>
        <v>9340.2199999999903</v>
      </c>
      <c r="N76" s="105">
        <f t="shared" si="70"/>
        <v>11305.075000000001</v>
      </c>
      <c r="O76" s="105">
        <f t="shared" ref="O76:P76" si="71">O75</f>
        <v>13830.097000000031</v>
      </c>
      <c r="P76" s="105">
        <f t="shared" si="71"/>
        <v>16791.787999999982</v>
      </c>
      <c r="Q76" s="105">
        <f t="shared" ref="Q76:U76" si="72">Q75</f>
        <v>19982.25400000003</v>
      </c>
      <c r="R76" s="105">
        <f t="shared" si="72"/>
        <v>23151.624999999927</v>
      </c>
      <c r="S76" s="105">
        <f t="shared" si="72"/>
        <v>26072.075000000001</v>
      </c>
      <c r="T76" s="105">
        <f t="shared" si="72"/>
        <v>28623.442000000006</v>
      </c>
      <c r="U76" s="177">
        <f t="shared" si="72"/>
        <v>30900.447999999658</v>
      </c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  <c r="QG76" s="13"/>
      <c r="QH76" s="13"/>
      <c r="QI76" s="13"/>
      <c r="QJ76" s="13"/>
      <c r="QK76" s="13"/>
      <c r="QL76" s="13"/>
      <c r="QM76" s="13"/>
      <c r="QN76" s="13"/>
      <c r="QO76" s="13"/>
      <c r="QP76" s="13"/>
      <c r="QQ76" s="13"/>
      <c r="QR76" s="13"/>
      <c r="QS76" s="13"/>
      <c r="QT76" s="13"/>
      <c r="QU76" s="13"/>
      <c r="QV76" s="13"/>
      <c r="QW76" s="13"/>
      <c r="QX76" s="13"/>
      <c r="QY76" s="13"/>
      <c r="QZ76" s="13"/>
      <c r="RA76" s="13"/>
      <c r="RB76" s="13"/>
      <c r="RC76" s="13"/>
      <c r="RD76" s="13"/>
      <c r="RE76" s="13"/>
      <c r="RF76" s="13"/>
      <c r="RG76" s="13"/>
      <c r="RH76" s="13"/>
      <c r="RI76" s="13"/>
      <c r="RJ76" s="13"/>
      <c r="RK76" s="13"/>
      <c r="RL76" s="13"/>
      <c r="RM76" s="13"/>
      <c r="RN76" s="13"/>
      <c r="RO76" s="13"/>
      <c r="RP76" s="13"/>
      <c r="RQ76" s="13"/>
      <c r="RR76" s="13"/>
      <c r="RS76" s="13"/>
      <c r="RT76" s="13"/>
      <c r="RU76" s="13"/>
      <c r="RV76" s="13"/>
      <c r="RW76" s="13"/>
      <c r="RX76" s="13"/>
      <c r="RY76" s="13"/>
      <c r="RZ76" s="13"/>
      <c r="SA76" s="13"/>
      <c r="SB76" s="13"/>
      <c r="SC76" s="13"/>
      <c r="SD76" s="13"/>
      <c r="SE76" s="13"/>
      <c r="SF76" s="13"/>
      <c r="SG76" s="13"/>
      <c r="SH76" s="13"/>
      <c r="SI76" s="13"/>
      <c r="SJ76" s="13"/>
      <c r="SK76" s="13"/>
      <c r="SL76" s="13"/>
      <c r="SM76" s="13"/>
      <c r="SN76" s="13"/>
      <c r="SO76" s="13"/>
      <c r="SP76" s="13"/>
      <c r="SQ76" s="13"/>
      <c r="SR76" s="13"/>
      <c r="SS76" s="13"/>
      <c r="ST76" s="13"/>
      <c r="SU76" s="13"/>
      <c r="SV76" s="13"/>
      <c r="SW76" s="13"/>
      <c r="SX76" s="13"/>
      <c r="SY76" s="13"/>
      <c r="SZ76" s="13"/>
      <c r="TA76" s="13"/>
      <c r="TB76" s="13"/>
      <c r="TC76" s="13"/>
      <c r="TD76" s="13"/>
      <c r="TE76" s="13"/>
      <c r="TF76" s="13"/>
      <c r="TG76" s="13"/>
      <c r="TH76" s="13"/>
      <c r="TI76" s="13"/>
      <c r="TJ76" s="13"/>
      <c r="TK76" s="13"/>
      <c r="TL76" s="13"/>
      <c r="TM76" s="13"/>
      <c r="TN76" s="13"/>
      <c r="TO76" s="13"/>
      <c r="TP76" s="13"/>
      <c r="TQ76" s="13"/>
      <c r="TR76" s="13"/>
      <c r="TS76" s="13"/>
      <c r="TT76" s="13"/>
      <c r="TU76" s="13"/>
      <c r="TV76" s="13"/>
      <c r="TW76" s="13"/>
      <c r="TX76" s="13"/>
      <c r="TY76" s="13"/>
      <c r="TZ76" s="13"/>
      <c r="UA76" s="13"/>
      <c r="UB76" s="13"/>
      <c r="UC76" s="13"/>
      <c r="UD76" s="13"/>
      <c r="UE76" s="13"/>
      <c r="UF76" s="13"/>
      <c r="UG76" s="13"/>
      <c r="UH76" s="13"/>
      <c r="UI76" s="13"/>
      <c r="UJ76" s="13"/>
      <c r="UK76" s="13"/>
      <c r="UL76" s="13"/>
      <c r="UM76" s="13"/>
      <c r="UN76" s="13"/>
      <c r="UO76" s="13"/>
      <c r="UP76" s="13"/>
      <c r="UQ76" s="13"/>
      <c r="UR76" s="13"/>
      <c r="US76" s="13"/>
      <c r="UT76" s="13"/>
      <c r="UU76" s="13"/>
      <c r="UV76" s="13"/>
      <c r="UW76" s="13"/>
      <c r="UX76" s="13"/>
      <c r="UY76" s="13"/>
      <c r="UZ76" s="13"/>
      <c r="VA76" s="13"/>
      <c r="VB76" s="13"/>
      <c r="VC76" s="13"/>
      <c r="VD76" s="13"/>
      <c r="VE76" s="13"/>
      <c r="VF76" s="13"/>
      <c r="VG76" s="13"/>
      <c r="VH76" s="13"/>
      <c r="VI76" s="13"/>
      <c r="VJ76" s="13"/>
      <c r="VK76" s="13"/>
      <c r="VL76" s="13"/>
      <c r="VM76" s="13"/>
      <c r="VN76" s="13"/>
      <c r="VO76" s="13"/>
      <c r="VP76" s="13"/>
      <c r="VQ76" s="13"/>
      <c r="VR76" s="13"/>
      <c r="VS76" s="13"/>
      <c r="VT76" s="13"/>
      <c r="VU76" s="13"/>
      <c r="VV76" s="13"/>
      <c r="VW76" s="13"/>
      <c r="VX76" s="13"/>
      <c r="VY76" s="13"/>
      <c r="VZ76" s="13"/>
      <c r="WA76" s="13"/>
      <c r="WB76" s="13"/>
      <c r="WC76" s="13"/>
      <c r="WD76" s="13"/>
      <c r="WE76" s="13"/>
      <c r="WF76" s="13"/>
      <c r="WG76" s="13"/>
      <c r="WH76" s="13"/>
      <c r="WI76" s="13"/>
      <c r="WJ76" s="13"/>
      <c r="WK76" s="13"/>
      <c r="WL76" s="13"/>
      <c r="WM76" s="13"/>
      <c r="WN76" s="13"/>
      <c r="WO76" s="13"/>
      <c r="WP76" s="13"/>
      <c r="WQ76" s="13"/>
      <c r="WR76" s="13"/>
      <c r="WS76" s="13"/>
      <c r="WT76" s="13"/>
      <c r="WU76" s="13"/>
      <c r="WV76" s="13"/>
      <c r="WW76" s="13"/>
      <c r="WX76" s="13"/>
      <c r="WY76" s="13"/>
      <c r="WZ76" s="13"/>
      <c r="XA76" s="13"/>
      <c r="XB76" s="13"/>
      <c r="XC76" s="13"/>
      <c r="XD76" s="13"/>
      <c r="XE76" s="13"/>
      <c r="XF76" s="13"/>
      <c r="XG76" s="13"/>
      <c r="XH76" s="13"/>
      <c r="XI76" s="13"/>
      <c r="XJ76" s="13"/>
      <c r="XK76" s="13"/>
      <c r="XL76" s="13"/>
      <c r="XM76" s="13"/>
      <c r="XN76" s="13"/>
      <c r="XO76" s="13"/>
      <c r="XP76" s="13"/>
      <c r="XQ76" s="13"/>
      <c r="XR76" s="13"/>
      <c r="XS76" s="13"/>
      <c r="XT76" s="13"/>
      <c r="XU76" s="13"/>
      <c r="XV76" s="13"/>
      <c r="XW76" s="13"/>
      <c r="XX76" s="13"/>
      <c r="XY76" s="13"/>
      <c r="XZ76" s="13"/>
      <c r="YA76" s="13"/>
      <c r="YB76" s="13"/>
      <c r="YC76" s="13"/>
      <c r="YD76" s="13"/>
      <c r="YE76" s="13"/>
      <c r="YF76" s="13"/>
      <c r="YG76" s="13"/>
      <c r="YH76" s="13"/>
      <c r="YI76" s="13"/>
      <c r="YJ76" s="13"/>
      <c r="YK76" s="13"/>
      <c r="YL76" s="13"/>
      <c r="YM76" s="13"/>
      <c r="YN76" s="13"/>
      <c r="YO76" s="13"/>
      <c r="YP76" s="13"/>
      <c r="YQ76" s="13"/>
      <c r="YR76" s="13"/>
      <c r="YS76" s="13"/>
      <c r="YT76" s="13"/>
      <c r="YU76" s="13"/>
      <c r="YV76" s="13"/>
      <c r="YW76" s="13"/>
      <c r="YX76" s="13"/>
      <c r="YY76" s="13"/>
      <c r="YZ76" s="13"/>
      <c r="ZA76" s="13"/>
      <c r="ZB76" s="13"/>
      <c r="ZC76" s="13"/>
      <c r="ZD76" s="13"/>
      <c r="ZE76" s="13"/>
      <c r="ZF76" s="13"/>
      <c r="ZG76" s="13"/>
      <c r="ZH76" s="13"/>
      <c r="ZI76" s="13"/>
      <c r="ZJ76" s="13"/>
      <c r="ZK76" s="13"/>
      <c r="ZL76" s="13"/>
      <c r="ZM76" s="13"/>
      <c r="ZN76" s="13"/>
      <c r="ZO76" s="13"/>
      <c r="ZP76" s="13"/>
      <c r="ZQ76" s="13"/>
      <c r="ZR76" s="13"/>
      <c r="ZS76" s="13"/>
      <c r="ZT76" s="13"/>
      <c r="ZU76" s="13"/>
      <c r="ZV76" s="13"/>
      <c r="ZW76" s="13"/>
      <c r="ZX76" s="13"/>
      <c r="ZY76" s="13"/>
      <c r="ZZ76" s="13"/>
      <c r="AAA76" s="13"/>
      <c r="AAB76" s="13"/>
      <c r="AAC76" s="13"/>
      <c r="AAD76" s="13"/>
      <c r="AAE76" s="13"/>
      <c r="AAF76" s="13"/>
      <c r="AAG76" s="13"/>
      <c r="AAH76" s="13"/>
      <c r="AAI76" s="13"/>
      <c r="AAJ76" s="13"/>
      <c r="AAK76" s="13"/>
      <c r="AAL76" s="13"/>
      <c r="AAM76" s="13"/>
      <c r="AAN76" s="13"/>
      <c r="AAO76" s="13"/>
      <c r="AAP76" s="13"/>
      <c r="AAQ76" s="13"/>
      <c r="AAR76" s="13"/>
      <c r="AAS76" s="13"/>
      <c r="AAT76" s="13"/>
      <c r="AAU76" s="13"/>
      <c r="AAV76" s="13"/>
      <c r="AAW76" s="13"/>
      <c r="AAX76" s="13"/>
      <c r="AAY76" s="13"/>
      <c r="AAZ76" s="13"/>
      <c r="ABA76" s="13"/>
      <c r="ABB76" s="13"/>
      <c r="ABC76" s="13"/>
      <c r="ABD76" s="13"/>
      <c r="ABE76" s="13"/>
      <c r="ABF76" s="13"/>
      <c r="ABG76" s="13"/>
      <c r="ABH76" s="13"/>
      <c r="ABI76" s="13"/>
      <c r="ABJ76" s="13"/>
      <c r="ABK76" s="13"/>
      <c r="ABL76" s="13"/>
      <c r="ABM76" s="13"/>
      <c r="ABN76" s="13"/>
      <c r="ABO76" s="13"/>
      <c r="ABP76" s="13"/>
      <c r="ABQ76" s="13"/>
      <c r="ABR76" s="13"/>
      <c r="ABS76" s="13"/>
      <c r="ABT76" s="13"/>
      <c r="ABU76" s="13"/>
      <c r="ABV76" s="13"/>
      <c r="ABW76" s="13"/>
      <c r="ABX76" s="13"/>
    </row>
    <row r="77" spans="1:752" s="24" customFormat="1" ht="15" customHeight="1" x14ac:dyDescent="0.3">
      <c r="A77" s="13"/>
      <c r="B77" s="37" t="s">
        <v>26</v>
      </c>
      <c r="C77" s="89"/>
      <c r="D77" s="124" t="s">
        <v>7</v>
      </c>
      <c r="E77" s="91">
        <f t="shared" ref="E77:U77" si="73">E76*100/($C$21*1000)</f>
        <v>0.12240533024333718</v>
      </c>
      <c r="F77" s="91">
        <f t="shared" si="73"/>
        <v>0.1281380938586327</v>
      </c>
      <c r="G77" s="91">
        <f t="shared" si="73"/>
        <v>0.1415396581691773</v>
      </c>
      <c r="H77" s="91">
        <f t="shared" si="73"/>
        <v>0.16003012746234072</v>
      </c>
      <c r="I77" s="91">
        <f t="shared" si="73"/>
        <v>0.17489716106604866</v>
      </c>
      <c r="J77" s="91">
        <f t="shared" si="73"/>
        <v>0.18799759559675563</v>
      </c>
      <c r="K77" s="91">
        <f t="shared" si="73"/>
        <v>0.20451051564310518</v>
      </c>
      <c r="L77" s="91">
        <f t="shared" si="73"/>
        <v>0.23041176129779806</v>
      </c>
      <c r="M77" s="91">
        <f t="shared" si="73"/>
        <v>0.27057415990729983</v>
      </c>
      <c r="N77" s="91">
        <f t="shared" si="73"/>
        <v>0.32749348203939743</v>
      </c>
      <c r="O77" s="91">
        <f t="shared" si="73"/>
        <v>0.4006401216685988</v>
      </c>
      <c r="P77" s="91">
        <f t="shared" si="73"/>
        <v>0.48643650057937377</v>
      </c>
      <c r="Q77" s="91">
        <f t="shared" si="73"/>
        <v>0.57886019698725466</v>
      </c>
      <c r="R77" s="91">
        <f t="shared" si="73"/>
        <v>0.67067279837774985</v>
      </c>
      <c r="S77" s="91">
        <f t="shared" si="73"/>
        <v>0.75527447856315177</v>
      </c>
      <c r="T77" s="91">
        <f t="shared" si="73"/>
        <v>0.82918429895712653</v>
      </c>
      <c r="U77" s="92">
        <f t="shared" si="73"/>
        <v>0.89514623406719751</v>
      </c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  <c r="PY77" s="13"/>
      <c r="PZ77" s="13"/>
      <c r="QA77" s="13"/>
      <c r="QB77" s="13"/>
      <c r="QC77" s="13"/>
      <c r="QD77" s="13"/>
      <c r="QE77" s="13"/>
      <c r="QF77" s="13"/>
      <c r="QG77" s="13"/>
      <c r="QH77" s="13"/>
      <c r="QI77" s="13"/>
      <c r="QJ77" s="13"/>
      <c r="QK77" s="13"/>
      <c r="QL77" s="13"/>
      <c r="QM77" s="13"/>
      <c r="QN77" s="13"/>
      <c r="QO77" s="13"/>
      <c r="QP77" s="13"/>
      <c r="QQ77" s="13"/>
      <c r="QR77" s="13"/>
      <c r="QS77" s="13"/>
      <c r="QT77" s="13"/>
      <c r="QU77" s="13"/>
      <c r="QV77" s="13"/>
      <c r="QW77" s="13"/>
      <c r="QX77" s="13"/>
      <c r="QY77" s="13"/>
      <c r="QZ77" s="13"/>
      <c r="RA77" s="13"/>
      <c r="RB77" s="13"/>
      <c r="RC77" s="13"/>
      <c r="RD77" s="13"/>
      <c r="RE77" s="13"/>
      <c r="RF77" s="13"/>
      <c r="RG77" s="13"/>
      <c r="RH77" s="13"/>
      <c r="RI77" s="13"/>
      <c r="RJ77" s="13"/>
      <c r="RK77" s="13"/>
      <c r="RL77" s="13"/>
      <c r="RM77" s="13"/>
      <c r="RN77" s="13"/>
      <c r="RO77" s="13"/>
      <c r="RP77" s="13"/>
      <c r="RQ77" s="13"/>
      <c r="RR77" s="13"/>
      <c r="RS77" s="13"/>
      <c r="RT77" s="13"/>
      <c r="RU77" s="13"/>
      <c r="RV77" s="13"/>
      <c r="RW77" s="13"/>
      <c r="RX77" s="13"/>
      <c r="RY77" s="13"/>
      <c r="RZ77" s="13"/>
      <c r="SA77" s="13"/>
      <c r="SB77" s="13"/>
      <c r="SC77" s="13"/>
      <c r="SD77" s="13"/>
      <c r="SE77" s="13"/>
      <c r="SF77" s="13"/>
      <c r="SG77" s="13"/>
      <c r="SH77" s="13"/>
      <c r="SI77" s="13"/>
      <c r="SJ77" s="13"/>
      <c r="SK77" s="13"/>
      <c r="SL77" s="13"/>
      <c r="SM77" s="13"/>
      <c r="SN77" s="13"/>
      <c r="SO77" s="13"/>
      <c r="SP77" s="13"/>
      <c r="SQ77" s="13"/>
      <c r="SR77" s="13"/>
      <c r="SS77" s="13"/>
      <c r="ST77" s="13"/>
      <c r="SU77" s="13"/>
      <c r="SV77" s="13"/>
      <c r="SW77" s="13"/>
      <c r="SX77" s="13"/>
      <c r="SY77" s="13"/>
      <c r="SZ77" s="13"/>
      <c r="TA77" s="13"/>
      <c r="TB77" s="13"/>
      <c r="TC77" s="13"/>
      <c r="TD77" s="13"/>
      <c r="TE77" s="13"/>
      <c r="TF77" s="13"/>
      <c r="TG77" s="13"/>
      <c r="TH77" s="13"/>
      <c r="TI77" s="13"/>
      <c r="TJ77" s="13"/>
      <c r="TK77" s="13"/>
      <c r="TL77" s="13"/>
      <c r="TM77" s="13"/>
      <c r="TN77" s="13"/>
      <c r="TO77" s="13"/>
      <c r="TP77" s="13"/>
      <c r="TQ77" s="13"/>
      <c r="TR77" s="13"/>
      <c r="TS77" s="13"/>
      <c r="TT77" s="13"/>
      <c r="TU77" s="13"/>
      <c r="TV77" s="13"/>
      <c r="TW77" s="13"/>
      <c r="TX77" s="13"/>
      <c r="TY77" s="13"/>
      <c r="TZ77" s="13"/>
      <c r="UA77" s="13"/>
      <c r="UB77" s="13"/>
      <c r="UC77" s="13"/>
      <c r="UD77" s="13"/>
      <c r="UE77" s="13"/>
      <c r="UF77" s="13"/>
      <c r="UG77" s="13"/>
      <c r="UH77" s="13"/>
      <c r="UI77" s="13"/>
      <c r="UJ77" s="13"/>
      <c r="UK77" s="13"/>
      <c r="UL77" s="13"/>
      <c r="UM77" s="13"/>
      <c r="UN77" s="13"/>
      <c r="UO77" s="13"/>
      <c r="UP77" s="13"/>
      <c r="UQ77" s="13"/>
      <c r="UR77" s="13"/>
      <c r="US77" s="13"/>
      <c r="UT77" s="13"/>
      <c r="UU77" s="13"/>
      <c r="UV77" s="13"/>
      <c r="UW77" s="13"/>
      <c r="UX77" s="13"/>
      <c r="UY77" s="13"/>
      <c r="UZ77" s="13"/>
      <c r="VA77" s="13"/>
      <c r="VB77" s="13"/>
      <c r="VC77" s="13"/>
      <c r="VD77" s="13"/>
      <c r="VE77" s="13"/>
      <c r="VF77" s="13"/>
      <c r="VG77" s="13"/>
      <c r="VH77" s="13"/>
      <c r="VI77" s="13"/>
      <c r="VJ77" s="13"/>
      <c r="VK77" s="13"/>
      <c r="VL77" s="13"/>
      <c r="VM77" s="13"/>
      <c r="VN77" s="13"/>
      <c r="VO77" s="13"/>
      <c r="VP77" s="13"/>
      <c r="VQ77" s="13"/>
      <c r="VR77" s="13"/>
      <c r="VS77" s="13"/>
      <c r="VT77" s="13"/>
      <c r="VU77" s="13"/>
      <c r="VV77" s="13"/>
      <c r="VW77" s="13"/>
      <c r="VX77" s="13"/>
      <c r="VY77" s="13"/>
      <c r="VZ77" s="13"/>
      <c r="WA77" s="13"/>
      <c r="WB77" s="13"/>
      <c r="WC77" s="13"/>
      <c r="WD77" s="13"/>
      <c r="WE77" s="13"/>
      <c r="WF77" s="13"/>
      <c r="WG77" s="13"/>
      <c r="WH77" s="13"/>
      <c r="WI77" s="13"/>
      <c r="WJ77" s="13"/>
      <c r="WK77" s="13"/>
      <c r="WL77" s="13"/>
      <c r="WM77" s="13"/>
      <c r="WN77" s="13"/>
      <c r="WO77" s="13"/>
      <c r="WP77" s="13"/>
      <c r="WQ77" s="13"/>
      <c r="WR77" s="13"/>
      <c r="WS77" s="13"/>
      <c r="WT77" s="13"/>
      <c r="WU77" s="13"/>
      <c r="WV77" s="13"/>
      <c r="WW77" s="13"/>
      <c r="WX77" s="13"/>
      <c r="WY77" s="13"/>
      <c r="WZ77" s="13"/>
      <c r="XA77" s="13"/>
      <c r="XB77" s="13"/>
      <c r="XC77" s="13"/>
      <c r="XD77" s="13"/>
      <c r="XE77" s="13"/>
      <c r="XF77" s="13"/>
      <c r="XG77" s="13"/>
      <c r="XH77" s="13"/>
      <c r="XI77" s="13"/>
      <c r="XJ77" s="13"/>
      <c r="XK77" s="13"/>
      <c r="XL77" s="13"/>
      <c r="XM77" s="13"/>
      <c r="XN77" s="13"/>
      <c r="XO77" s="13"/>
      <c r="XP77" s="13"/>
      <c r="XQ77" s="13"/>
      <c r="XR77" s="13"/>
      <c r="XS77" s="13"/>
      <c r="XT77" s="13"/>
      <c r="XU77" s="13"/>
      <c r="XV77" s="13"/>
      <c r="XW77" s="13"/>
      <c r="XX77" s="13"/>
      <c r="XY77" s="13"/>
      <c r="XZ77" s="13"/>
      <c r="YA77" s="13"/>
      <c r="YB77" s="13"/>
      <c r="YC77" s="13"/>
      <c r="YD77" s="13"/>
      <c r="YE77" s="13"/>
      <c r="YF77" s="13"/>
      <c r="YG77" s="13"/>
      <c r="YH77" s="13"/>
      <c r="YI77" s="13"/>
      <c r="YJ77" s="13"/>
      <c r="YK77" s="13"/>
      <c r="YL77" s="13"/>
      <c r="YM77" s="13"/>
      <c r="YN77" s="13"/>
      <c r="YO77" s="13"/>
      <c r="YP77" s="13"/>
      <c r="YQ77" s="13"/>
      <c r="YR77" s="13"/>
      <c r="YS77" s="13"/>
      <c r="YT77" s="13"/>
      <c r="YU77" s="13"/>
      <c r="YV77" s="13"/>
      <c r="YW77" s="13"/>
      <c r="YX77" s="13"/>
      <c r="YY77" s="13"/>
      <c r="YZ77" s="13"/>
      <c r="ZA77" s="13"/>
      <c r="ZB77" s="13"/>
      <c r="ZC77" s="13"/>
      <c r="ZD77" s="13"/>
      <c r="ZE77" s="13"/>
      <c r="ZF77" s="13"/>
      <c r="ZG77" s="13"/>
      <c r="ZH77" s="13"/>
      <c r="ZI77" s="13"/>
      <c r="ZJ77" s="13"/>
      <c r="ZK77" s="13"/>
      <c r="ZL77" s="13"/>
      <c r="ZM77" s="13"/>
      <c r="ZN77" s="13"/>
      <c r="ZO77" s="13"/>
      <c r="ZP77" s="13"/>
      <c r="ZQ77" s="13"/>
      <c r="ZR77" s="13"/>
      <c r="ZS77" s="13"/>
      <c r="ZT77" s="13"/>
      <c r="ZU77" s="13"/>
      <c r="ZV77" s="13"/>
      <c r="ZW77" s="13"/>
      <c r="ZX77" s="13"/>
      <c r="ZY77" s="13"/>
      <c r="ZZ77" s="13"/>
      <c r="AAA77" s="13"/>
      <c r="AAB77" s="13"/>
      <c r="AAC77" s="13"/>
      <c r="AAD77" s="13"/>
      <c r="AAE77" s="13"/>
      <c r="AAF77" s="13"/>
      <c r="AAG77" s="13"/>
      <c r="AAH77" s="13"/>
      <c r="AAI77" s="13"/>
      <c r="AAJ77" s="13"/>
      <c r="AAK77" s="13"/>
      <c r="AAL77" s="13"/>
      <c r="AAM77" s="13"/>
      <c r="AAN77" s="13"/>
      <c r="AAO77" s="13"/>
      <c r="AAP77" s="13"/>
      <c r="AAQ77" s="13"/>
      <c r="AAR77" s="13"/>
      <c r="AAS77" s="13"/>
      <c r="AAT77" s="13"/>
      <c r="AAU77" s="13"/>
      <c r="AAV77" s="13"/>
      <c r="AAW77" s="13"/>
      <c r="AAX77" s="13"/>
      <c r="AAY77" s="13"/>
      <c r="AAZ77" s="13"/>
      <c r="ABA77" s="13"/>
      <c r="ABB77" s="13"/>
      <c r="ABC77" s="13"/>
      <c r="ABD77" s="13"/>
      <c r="ABE77" s="13"/>
      <c r="ABF77" s="13"/>
      <c r="ABG77" s="13"/>
      <c r="ABH77" s="13"/>
      <c r="ABI77" s="13"/>
      <c r="ABJ77" s="13"/>
      <c r="ABK77" s="13"/>
      <c r="ABL77" s="13"/>
      <c r="ABM77" s="13"/>
      <c r="ABN77" s="13"/>
      <c r="ABO77" s="13"/>
      <c r="ABP77" s="13"/>
      <c r="ABQ77" s="13"/>
      <c r="ABR77" s="13"/>
      <c r="ABS77" s="13"/>
      <c r="ABT77" s="13"/>
      <c r="ABU77" s="13"/>
      <c r="ABV77" s="13"/>
      <c r="ABW77" s="13"/>
      <c r="ABX77" s="13"/>
    </row>
    <row r="78" spans="1:752" s="24" customFormat="1" ht="1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  <c r="LN78" s="13"/>
      <c r="LO78" s="13"/>
      <c r="LP78" s="13"/>
      <c r="LQ78" s="13"/>
      <c r="LR78" s="13"/>
      <c r="LS78" s="13"/>
      <c r="LT78" s="13"/>
      <c r="LU78" s="13"/>
      <c r="LV78" s="13"/>
      <c r="LW78" s="13"/>
      <c r="LX78" s="13"/>
      <c r="LY78" s="13"/>
      <c r="LZ78" s="13"/>
      <c r="MA78" s="13"/>
      <c r="MB78" s="13"/>
      <c r="MC78" s="13"/>
      <c r="MD78" s="13"/>
      <c r="ME78" s="13"/>
      <c r="MF78" s="13"/>
      <c r="MG78" s="13"/>
      <c r="MH78" s="13"/>
      <c r="MI78" s="13"/>
      <c r="MJ78" s="13"/>
      <c r="MK78" s="13"/>
      <c r="ML78" s="13"/>
      <c r="MM78" s="13"/>
      <c r="MN78" s="13"/>
      <c r="MO78" s="13"/>
      <c r="MP78" s="13"/>
      <c r="MQ78" s="13"/>
      <c r="MR78" s="13"/>
      <c r="MS78" s="13"/>
      <c r="MT78" s="13"/>
      <c r="MU78" s="13"/>
      <c r="MV78" s="13"/>
      <c r="MW78" s="13"/>
      <c r="MX78" s="13"/>
      <c r="MY78" s="13"/>
      <c r="MZ78" s="13"/>
      <c r="NA78" s="13"/>
      <c r="NB78" s="13"/>
      <c r="NC78" s="13"/>
      <c r="ND78" s="13"/>
      <c r="NE78" s="13"/>
      <c r="NF78" s="13"/>
      <c r="NG78" s="13"/>
      <c r="NH78" s="13"/>
      <c r="NI78" s="13"/>
      <c r="NJ78" s="13"/>
      <c r="NK78" s="13"/>
      <c r="NL78" s="13"/>
      <c r="NM78" s="13"/>
      <c r="NN78" s="13"/>
      <c r="NO78" s="13"/>
      <c r="NP78" s="13"/>
      <c r="NQ78" s="13"/>
      <c r="NR78" s="13"/>
      <c r="NS78" s="13"/>
      <c r="NT78" s="13"/>
      <c r="NU78" s="13"/>
      <c r="NV78" s="13"/>
      <c r="NW78" s="13"/>
      <c r="NX78" s="13"/>
      <c r="NY78" s="13"/>
      <c r="NZ78" s="13"/>
      <c r="OA78" s="13"/>
      <c r="OB78" s="13"/>
      <c r="OC78" s="13"/>
      <c r="OD78" s="13"/>
      <c r="OE78" s="13"/>
      <c r="OF78" s="13"/>
      <c r="OG78" s="13"/>
      <c r="OH78" s="13"/>
      <c r="OI78" s="13"/>
      <c r="OJ78" s="13"/>
      <c r="OK78" s="13"/>
      <c r="OL78" s="13"/>
      <c r="OM78" s="13"/>
      <c r="ON78" s="13"/>
      <c r="OO78" s="13"/>
      <c r="OP78" s="13"/>
      <c r="OQ78" s="13"/>
      <c r="OR78" s="13"/>
      <c r="OS78" s="13"/>
      <c r="OT78" s="13"/>
      <c r="OU78" s="13"/>
      <c r="OV78" s="13"/>
      <c r="OW78" s="13"/>
      <c r="OX78" s="13"/>
      <c r="OY78" s="13"/>
      <c r="OZ78" s="13"/>
      <c r="PA78" s="13"/>
      <c r="PB78" s="13"/>
      <c r="PC78" s="13"/>
      <c r="PD78" s="13"/>
      <c r="PE78" s="13"/>
      <c r="PF78" s="13"/>
      <c r="PG78" s="13"/>
      <c r="PH78" s="13"/>
      <c r="PI78" s="13"/>
      <c r="PJ78" s="13"/>
      <c r="PK78" s="13"/>
      <c r="PL78" s="13"/>
      <c r="PM78" s="13"/>
      <c r="PN78" s="13"/>
      <c r="PO78" s="13"/>
      <c r="PP78" s="13"/>
      <c r="PQ78" s="13"/>
      <c r="PR78" s="13"/>
      <c r="PS78" s="13"/>
      <c r="PT78" s="13"/>
      <c r="PU78" s="13"/>
      <c r="PV78" s="13"/>
      <c r="PW78" s="13"/>
      <c r="PX78" s="13"/>
      <c r="PY78" s="13"/>
      <c r="PZ78" s="13"/>
      <c r="QA78" s="13"/>
      <c r="QB78" s="13"/>
      <c r="QC78" s="13"/>
      <c r="QD78" s="13"/>
      <c r="QE78" s="13"/>
      <c r="QF78" s="13"/>
      <c r="QG78" s="13"/>
      <c r="QH78" s="13"/>
      <c r="QI78" s="13"/>
      <c r="QJ78" s="13"/>
      <c r="QK78" s="13"/>
      <c r="QL78" s="13"/>
      <c r="QM78" s="13"/>
      <c r="QN78" s="13"/>
      <c r="QO78" s="13"/>
      <c r="QP78" s="13"/>
      <c r="QQ78" s="13"/>
      <c r="QR78" s="13"/>
      <c r="QS78" s="13"/>
      <c r="QT78" s="13"/>
      <c r="QU78" s="13"/>
      <c r="QV78" s="13"/>
      <c r="QW78" s="13"/>
      <c r="QX78" s="13"/>
      <c r="QY78" s="13"/>
      <c r="QZ78" s="13"/>
      <c r="RA78" s="13"/>
      <c r="RB78" s="13"/>
      <c r="RC78" s="13"/>
      <c r="RD78" s="13"/>
      <c r="RE78" s="13"/>
      <c r="RF78" s="13"/>
      <c r="RG78" s="13"/>
      <c r="RH78" s="13"/>
      <c r="RI78" s="13"/>
      <c r="RJ78" s="13"/>
      <c r="RK78" s="13"/>
      <c r="RL78" s="13"/>
      <c r="RM78" s="13"/>
      <c r="RN78" s="13"/>
      <c r="RO78" s="13"/>
      <c r="RP78" s="13"/>
      <c r="RQ78" s="13"/>
      <c r="RR78" s="13"/>
      <c r="RS78" s="13"/>
      <c r="RT78" s="13"/>
      <c r="RU78" s="13"/>
      <c r="RV78" s="13"/>
      <c r="RW78" s="13"/>
      <c r="RX78" s="13"/>
      <c r="RY78" s="13"/>
      <c r="RZ78" s="13"/>
      <c r="SA78" s="13"/>
      <c r="SB78" s="13"/>
      <c r="SC78" s="13"/>
      <c r="SD78" s="13"/>
      <c r="SE78" s="13"/>
      <c r="SF78" s="13"/>
      <c r="SG78" s="13"/>
      <c r="SH78" s="13"/>
      <c r="SI78" s="13"/>
      <c r="SJ78" s="13"/>
      <c r="SK78" s="13"/>
      <c r="SL78" s="13"/>
      <c r="SM78" s="13"/>
      <c r="SN78" s="13"/>
      <c r="SO78" s="13"/>
      <c r="SP78" s="13"/>
      <c r="SQ78" s="13"/>
      <c r="SR78" s="13"/>
      <c r="SS78" s="13"/>
      <c r="ST78" s="13"/>
      <c r="SU78" s="13"/>
      <c r="SV78" s="13"/>
      <c r="SW78" s="13"/>
      <c r="SX78" s="13"/>
      <c r="SY78" s="13"/>
      <c r="SZ78" s="13"/>
      <c r="TA78" s="13"/>
      <c r="TB78" s="13"/>
      <c r="TC78" s="13"/>
      <c r="TD78" s="13"/>
      <c r="TE78" s="13"/>
      <c r="TF78" s="13"/>
      <c r="TG78" s="13"/>
      <c r="TH78" s="13"/>
      <c r="TI78" s="13"/>
      <c r="TJ78" s="13"/>
      <c r="TK78" s="13"/>
      <c r="TL78" s="13"/>
      <c r="TM78" s="13"/>
      <c r="TN78" s="13"/>
      <c r="TO78" s="13"/>
      <c r="TP78" s="13"/>
      <c r="TQ78" s="13"/>
      <c r="TR78" s="13"/>
      <c r="TS78" s="13"/>
      <c r="TT78" s="13"/>
      <c r="TU78" s="13"/>
      <c r="TV78" s="13"/>
      <c r="TW78" s="13"/>
      <c r="TX78" s="13"/>
      <c r="TY78" s="13"/>
      <c r="TZ78" s="13"/>
      <c r="UA78" s="13"/>
      <c r="UB78" s="13"/>
      <c r="UC78" s="13"/>
      <c r="UD78" s="13"/>
      <c r="UE78" s="13"/>
      <c r="UF78" s="13"/>
      <c r="UG78" s="13"/>
      <c r="UH78" s="13"/>
      <c r="UI78" s="13"/>
      <c r="UJ78" s="13"/>
      <c r="UK78" s="13"/>
      <c r="UL78" s="13"/>
      <c r="UM78" s="13"/>
      <c r="UN78" s="13"/>
      <c r="UO78" s="13"/>
      <c r="UP78" s="13"/>
      <c r="UQ78" s="13"/>
      <c r="UR78" s="13"/>
      <c r="US78" s="13"/>
      <c r="UT78" s="13"/>
      <c r="UU78" s="13"/>
      <c r="UV78" s="13"/>
      <c r="UW78" s="13"/>
      <c r="UX78" s="13"/>
      <c r="UY78" s="13"/>
      <c r="UZ78" s="13"/>
      <c r="VA78" s="13"/>
      <c r="VB78" s="13"/>
      <c r="VC78" s="13"/>
      <c r="VD78" s="13"/>
      <c r="VE78" s="13"/>
      <c r="VF78" s="13"/>
      <c r="VG78" s="13"/>
      <c r="VH78" s="13"/>
      <c r="VI78" s="13"/>
      <c r="VJ78" s="13"/>
      <c r="VK78" s="13"/>
      <c r="VL78" s="13"/>
      <c r="VM78" s="13"/>
      <c r="VN78" s="13"/>
      <c r="VO78" s="13"/>
      <c r="VP78" s="13"/>
      <c r="VQ78" s="13"/>
      <c r="VR78" s="13"/>
      <c r="VS78" s="13"/>
      <c r="VT78" s="13"/>
      <c r="VU78" s="13"/>
      <c r="VV78" s="13"/>
      <c r="VW78" s="13"/>
      <c r="VX78" s="13"/>
      <c r="VY78" s="13"/>
      <c r="VZ78" s="13"/>
      <c r="WA78" s="13"/>
      <c r="WB78" s="13"/>
      <c r="WC78" s="13"/>
      <c r="WD78" s="13"/>
      <c r="WE78" s="13"/>
      <c r="WF78" s="13"/>
      <c r="WG78" s="13"/>
      <c r="WH78" s="13"/>
      <c r="WI78" s="13"/>
      <c r="WJ78" s="13"/>
      <c r="WK78" s="13"/>
      <c r="WL78" s="13"/>
      <c r="WM78" s="13"/>
      <c r="WN78" s="13"/>
      <c r="WO78" s="13"/>
      <c r="WP78" s="13"/>
      <c r="WQ78" s="13"/>
      <c r="WR78" s="13"/>
      <c r="WS78" s="13"/>
      <c r="WT78" s="13"/>
      <c r="WU78" s="13"/>
      <c r="WV78" s="13"/>
      <c r="WW78" s="13"/>
      <c r="WX78" s="13"/>
      <c r="WY78" s="13"/>
      <c r="WZ78" s="13"/>
      <c r="XA78" s="13"/>
      <c r="XB78" s="13"/>
      <c r="XC78" s="13"/>
      <c r="XD78" s="13"/>
      <c r="XE78" s="13"/>
      <c r="XF78" s="13"/>
      <c r="XG78" s="13"/>
      <c r="XH78" s="13"/>
      <c r="XI78" s="13"/>
      <c r="XJ78" s="13"/>
      <c r="XK78" s="13"/>
      <c r="XL78" s="13"/>
      <c r="XM78" s="13"/>
      <c r="XN78" s="13"/>
      <c r="XO78" s="13"/>
      <c r="XP78" s="13"/>
      <c r="XQ78" s="13"/>
      <c r="XR78" s="13"/>
      <c r="XS78" s="13"/>
      <c r="XT78" s="13"/>
      <c r="XU78" s="13"/>
      <c r="XV78" s="13"/>
      <c r="XW78" s="13"/>
      <c r="XX78" s="13"/>
      <c r="XY78" s="13"/>
      <c r="XZ78" s="13"/>
      <c r="YA78" s="13"/>
      <c r="YB78" s="13"/>
      <c r="YC78" s="13"/>
      <c r="YD78" s="13"/>
      <c r="YE78" s="13"/>
      <c r="YF78" s="13"/>
      <c r="YG78" s="13"/>
      <c r="YH78" s="13"/>
      <c r="YI78" s="13"/>
      <c r="YJ78" s="13"/>
      <c r="YK78" s="13"/>
      <c r="YL78" s="13"/>
      <c r="YM78" s="13"/>
      <c r="YN78" s="13"/>
      <c r="YO78" s="13"/>
      <c r="YP78" s="13"/>
      <c r="YQ78" s="13"/>
      <c r="YR78" s="13"/>
      <c r="YS78" s="13"/>
      <c r="YT78" s="13"/>
      <c r="YU78" s="13"/>
      <c r="YV78" s="13"/>
      <c r="YW78" s="13"/>
      <c r="YX78" s="13"/>
      <c r="YY78" s="13"/>
      <c r="YZ78" s="13"/>
      <c r="ZA78" s="13"/>
      <c r="ZB78" s="13"/>
      <c r="ZC78" s="13"/>
      <c r="ZD78" s="13"/>
      <c r="ZE78" s="13"/>
      <c r="ZF78" s="13"/>
      <c r="ZG78" s="13"/>
      <c r="ZH78" s="13"/>
      <c r="ZI78" s="13"/>
      <c r="ZJ78" s="13"/>
      <c r="ZK78" s="13"/>
      <c r="ZL78" s="13"/>
      <c r="ZM78" s="13"/>
      <c r="ZN78" s="13"/>
      <c r="ZO78" s="13"/>
      <c r="ZP78" s="13"/>
      <c r="ZQ78" s="13"/>
      <c r="ZR78" s="13"/>
      <c r="ZS78" s="13"/>
      <c r="ZT78" s="13"/>
      <c r="ZU78" s="13"/>
      <c r="ZV78" s="13"/>
      <c r="ZW78" s="13"/>
      <c r="ZX78" s="13"/>
      <c r="ZY78" s="13"/>
      <c r="ZZ78" s="13"/>
      <c r="AAA78" s="13"/>
      <c r="AAB78" s="13"/>
      <c r="AAC78" s="13"/>
      <c r="AAD78" s="13"/>
      <c r="AAE78" s="13"/>
      <c r="AAF78" s="13"/>
      <c r="AAG78" s="13"/>
      <c r="AAH78" s="13"/>
      <c r="AAI78" s="13"/>
      <c r="AAJ78" s="13"/>
      <c r="AAK78" s="13"/>
      <c r="AAL78" s="13"/>
      <c r="AAM78" s="13"/>
      <c r="AAN78" s="13"/>
      <c r="AAO78" s="13"/>
      <c r="AAP78" s="13"/>
      <c r="AAQ78" s="13"/>
      <c r="AAR78" s="13"/>
      <c r="AAS78" s="13"/>
      <c r="AAT78" s="13"/>
      <c r="AAU78" s="13"/>
      <c r="AAV78" s="13"/>
      <c r="AAW78" s="13"/>
      <c r="AAX78" s="13"/>
      <c r="AAY78" s="13"/>
      <c r="AAZ78" s="13"/>
      <c r="ABA78" s="13"/>
      <c r="ABB78" s="13"/>
      <c r="ABC78" s="13"/>
      <c r="ABD78" s="13"/>
      <c r="ABE78" s="13"/>
      <c r="ABF78" s="13"/>
      <c r="ABG78" s="13"/>
      <c r="ABH78" s="13"/>
      <c r="ABI78" s="13"/>
      <c r="ABJ78" s="13"/>
      <c r="ABK78" s="13"/>
      <c r="ABL78" s="13"/>
      <c r="ABM78" s="13"/>
      <c r="ABN78" s="13"/>
      <c r="ABO78" s="13"/>
      <c r="ABP78" s="13"/>
      <c r="ABQ78" s="13"/>
      <c r="ABR78" s="13"/>
      <c r="ABS78" s="13"/>
      <c r="ABT78" s="13"/>
      <c r="ABU78" s="13"/>
      <c r="ABV78" s="13"/>
      <c r="ABW78" s="13"/>
      <c r="ABX78" s="13"/>
    </row>
    <row r="79" spans="1:752" s="24" customFormat="1" ht="15" customHeight="1" x14ac:dyDescent="0.3">
      <c r="A79" s="13"/>
      <c r="B79" s="125" t="s">
        <v>11</v>
      </c>
      <c r="C79" s="126"/>
      <c r="D79" s="127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59"/>
      <c r="Q79" s="159"/>
      <c r="R79" s="159"/>
      <c r="S79" s="159"/>
      <c r="T79" s="159"/>
      <c r="U79" s="160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  <c r="PY79" s="13"/>
      <c r="PZ79" s="13"/>
      <c r="QA79" s="13"/>
      <c r="QB79" s="13"/>
      <c r="QC79" s="13"/>
      <c r="QD79" s="13"/>
      <c r="QE79" s="13"/>
      <c r="QF79" s="13"/>
      <c r="QG79" s="13"/>
      <c r="QH79" s="13"/>
      <c r="QI79" s="13"/>
      <c r="QJ79" s="13"/>
      <c r="QK79" s="13"/>
      <c r="QL79" s="13"/>
      <c r="QM79" s="13"/>
      <c r="QN79" s="13"/>
      <c r="QO79" s="13"/>
      <c r="QP79" s="13"/>
      <c r="QQ79" s="13"/>
      <c r="QR79" s="13"/>
      <c r="QS79" s="13"/>
      <c r="QT79" s="13"/>
      <c r="QU79" s="13"/>
      <c r="QV79" s="13"/>
      <c r="QW79" s="13"/>
      <c r="QX79" s="13"/>
      <c r="QY79" s="13"/>
      <c r="QZ79" s="13"/>
      <c r="RA79" s="13"/>
      <c r="RB79" s="13"/>
      <c r="RC79" s="13"/>
      <c r="RD79" s="13"/>
      <c r="RE79" s="13"/>
      <c r="RF79" s="13"/>
      <c r="RG79" s="13"/>
      <c r="RH79" s="13"/>
      <c r="RI79" s="13"/>
      <c r="RJ79" s="13"/>
      <c r="RK79" s="13"/>
      <c r="RL79" s="13"/>
      <c r="RM79" s="13"/>
      <c r="RN79" s="13"/>
      <c r="RO79" s="13"/>
      <c r="RP79" s="13"/>
      <c r="RQ79" s="13"/>
      <c r="RR79" s="13"/>
      <c r="RS79" s="13"/>
      <c r="RT79" s="13"/>
      <c r="RU79" s="13"/>
      <c r="RV79" s="13"/>
      <c r="RW79" s="13"/>
      <c r="RX79" s="13"/>
      <c r="RY79" s="13"/>
      <c r="RZ79" s="13"/>
      <c r="SA79" s="13"/>
      <c r="SB79" s="13"/>
      <c r="SC79" s="13"/>
      <c r="SD79" s="13"/>
      <c r="SE79" s="13"/>
      <c r="SF79" s="13"/>
      <c r="SG79" s="13"/>
      <c r="SH79" s="13"/>
      <c r="SI79" s="13"/>
      <c r="SJ79" s="13"/>
      <c r="SK79" s="13"/>
      <c r="SL79" s="13"/>
      <c r="SM79" s="13"/>
      <c r="SN79" s="13"/>
      <c r="SO79" s="13"/>
      <c r="SP79" s="13"/>
      <c r="SQ79" s="13"/>
      <c r="SR79" s="13"/>
      <c r="SS79" s="13"/>
      <c r="ST79" s="13"/>
      <c r="SU79" s="13"/>
      <c r="SV79" s="13"/>
      <c r="SW79" s="13"/>
      <c r="SX79" s="13"/>
      <c r="SY79" s="13"/>
      <c r="SZ79" s="13"/>
      <c r="TA79" s="13"/>
      <c r="TB79" s="13"/>
      <c r="TC79" s="13"/>
      <c r="TD79" s="13"/>
      <c r="TE79" s="13"/>
      <c r="TF79" s="13"/>
      <c r="TG79" s="13"/>
      <c r="TH79" s="13"/>
      <c r="TI79" s="13"/>
      <c r="TJ79" s="13"/>
      <c r="TK79" s="13"/>
      <c r="TL79" s="13"/>
      <c r="TM79" s="13"/>
      <c r="TN79" s="13"/>
      <c r="TO79" s="13"/>
      <c r="TP79" s="13"/>
      <c r="TQ79" s="13"/>
      <c r="TR79" s="13"/>
      <c r="TS79" s="13"/>
      <c r="TT79" s="13"/>
      <c r="TU79" s="13"/>
      <c r="TV79" s="13"/>
      <c r="TW79" s="13"/>
      <c r="TX79" s="13"/>
      <c r="TY79" s="13"/>
      <c r="TZ79" s="13"/>
      <c r="UA79" s="13"/>
      <c r="UB79" s="13"/>
      <c r="UC79" s="13"/>
      <c r="UD79" s="13"/>
      <c r="UE79" s="13"/>
      <c r="UF79" s="13"/>
      <c r="UG79" s="13"/>
      <c r="UH79" s="13"/>
      <c r="UI79" s="13"/>
      <c r="UJ79" s="13"/>
      <c r="UK79" s="13"/>
      <c r="UL79" s="13"/>
      <c r="UM79" s="13"/>
      <c r="UN79" s="13"/>
      <c r="UO79" s="13"/>
      <c r="UP79" s="13"/>
      <c r="UQ79" s="13"/>
      <c r="UR79" s="13"/>
      <c r="US79" s="13"/>
      <c r="UT79" s="13"/>
      <c r="UU79" s="13"/>
      <c r="UV79" s="13"/>
      <c r="UW79" s="13"/>
      <c r="UX79" s="13"/>
      <c r="UY79" s="13"/>
      <c r="UZ79" s="13"/>
      <c r="VA79" s="13"/>
      <c r="VB79" s="13"/>
      <c r="VC79" s="13"/>
      <c r="VD79" s="13"/>
      <c r="VE79" s="13"/>
      <c r="VF79" s="13"/>
      <c r="VG79" s="13"/>
      <c r="VH79" s="13"/>
      <c r="VI79" s="13"/>
      <c r="VJ79" s="13"/>
      <c r="VK79" s="13"/>
      <c r="VL79" s="13"/>
      <c r="VM79" s="13"/>
      <c r="VN79" s="13"/>
      <c r="VO79" s="13"/>
      <c r="VP79" s="13"/>
      <c r="VQ79" s="13"/>
      <c r="VR79" s="13"/>
      <c r="VS79" s="13"/>
      <c r="VT79" s="13"/>
      <c r="VU79" s="13"/>
      <c r="VV79" s="13"/>
      <c r="VW79" s="13"/>
      <c r="VX79" s="13"/>
      <c r="VY79" s="13"/>
      <c r="VZ79" s="13"/>
      <c r="WA79" s="13"/>
      <c r="WB79" s="13"/>
      <c r="WC79" s="13"/>
      <c r="WD79" s="13"/>
      <c r="WE79" s="13"/>
      <c r="WF79" s="13"/>
      <c r="WG79" s="13"/>
      <c r="WH79" s="13"/>
      <c r="WI79" s="13"/>
      <c r="WJ79" s="13"/>
      <c r="WK79" s="13"/>
      <c r="WL79" s="13"/>
      <c r="WM79" s="13"/>
      <c r="WN79" s="13"/>
      <c r="WO79" s="13"/>
      <c r="WP79" s="13"/>
      <c r="WQ79" s="13"/>
      <c r="WR79" s="13"/>
      <c r="WS79" s="13"/>
      <c r="WT79" s="13"/>
      <c r="WU79" s="13"/>
      <c r="WV79" s="13"/>
      <c r="WW79" s="13"/>
      <c r="WX79" s="13"/>
      <c r="WY79" s="13"/>
      <c r="WZ79" s="13"/>
      <c r="XA79" s="13"/>
      <c r="XB79" s="13"/>
      <c r="XC79" s="13"/>
      <c r="XD79" s="13"/>
      <c r="XE79" s="13"/>
      <c r="XF79" s="13"/>
      <c r="XG79" s="13"/>
      <c r="XH79" s="13"/>
      <c r="XI79" s="13"/>
      <c r="XJ79" s="13"/>
      <c r="XK79" s="13"/>
      <c r="XL79" s="13"/>
      <c r="XM79" s="13"/>
      <c r="XN79" s="13"/>
      <c r="XO79" s="13"/>
      <c r="XP79" s="13"/>
      <c r="XQ79" s="13"/>
      <c r="XR79" s="13"/>
      <c r="XS79" s="13"/>
      <c r="XT79" s="13"/>
      <c r="XU79" s="13"/>
      <c r="XV79" s="13"/>
      <c r="XW79" s="13"/>
      <c r="XX79" s="13"/>
      <c r="XY79" s="13"/>
      <c r="XZ79" s="13"/>
      <c r="YA79" s="13"/>
      <c r="YB79" s="13"/>
      <c r="YC79" s="13"/>
      <c r="YD79" s="13"/>
      <c r="YE79" s="13"/>
      <c r="YF79" s="13"/>
      <c r="YG79" s="13"/>
      <c r="YH79" s="13"/>
      <c r="YI79" s="13"/>
      <c r="YJ79" s="13"/>
      <c r="YK79" s="13"/>
      <c r="YL79" s="13"/>
      <c r="YM79" s="13"/>
      <c r="YN79" s="13"/>
      <c r="YO79" s="13"/>
      <c r="YP79" s="13"/>
      <c r="YQ79" s="13"/>
      <c r="YR79" s="13"/>
      <c r="YS79" s="13"/>
      <c r="YT79" s="13"/>
      <c r="YU79" s="13"/>
      <c r="YV79" s="13"/>
      <c r="YW79" s="13"/>
      <c r="YX79" s="13"/>
      <c r="YY79" s="13"/>
      <c r="YZ79" s="13"/>
      <c r="ZA79" s="13"/>
      <c r="ZB79" s="13"/>
      <c r="ZC79" s="13"/>
      <c r="ZD79" s="13"/>
      <c r="ZE79" s="13"/>
      <c r="ZF79" s="13"/>
      <c r="ZG79" s="13"/>
      <c r="ZH79" s="13"/>
      <c r="ZI79" s="13"/>
      <c r="ZJ79" s="13"/>
      <c r="ZK79" s="13"/>
      <c r="ZL79" s="13"/>
      <c r="ZM79" s="13"/>
      <c r="ZN79" s="13"/>
      <c r="ZO79" s="13"/>
      <c r="ZP79" s="13"/>
      <c r="ZQ79" s="13"/>
      <c r="ZR79" s="13"/>
      <c r="ZS79" s="13"/>
      <c r="ZT79" s="13"/>
      <c r="ZU79" s="13"/>
      <c r="ZV79" s="13"/>
      <c r="ZW79" s="13"/>
      <c r="ZX79" s="13"/>
      <c r="ZY79" s="13"/>
      <c r="ZZ79" s="13"/>
      <c r="AAA79" s="13"/>
      <c r="AAB79" s="13"/>
      <c r="AAC79" s="13"/>
      <c r="AAD79" s="13"/>
      <c r="AAE79" s="13"/>
      <c r="AAF79" s="13"/>
      <c r="AAG79" s="13"/>
      <c r="AAH79" s="13"/>
      <c r="AAI79" s="13"/>
      <c r="AAJ79" s="13"/>
      <c r="AAK79" s="13"/>
      <c r="AAL79" s="13"/>
      <c r="AAM79" s="13"/>
      <c r="AAN79" s="13"/>
      <c r="AAO79" s="13"/>
      <c r="AAP79" s="13"/>
      <c r="AAQ79" s="13"/>
      <c r="AAR79" s="13"/>
      <c r="AAS79" s="13"/>
      <c r="AAT79" s="13"/>
      <c r="AAU79" s="13"/>
      <c r="AAV79" s="13"/>
      <c r="AAW79" s="13"/>
      <c r="AAX79" s="13"/>
      <c r="AAY79" s="13"/>
      <c r="AAZ79" s="13"/>
      <c r="ABA79" s="13"/>
      <c r="ABB79" s="13"/>
      <c r="ABC79" s="13"/>
      <c r="ABD79" s="13"/>
      <c r="ABE79" s="13"/>
      <c r="ABF79" s="13"/>
      <c r="ABG79" s="13"/>
      <c r="ABH79" s="13"/>
      <c r="ABI79" s="13"/>
      <c r="ABJ79" s="13"/>
      <c r="ABK79" s="13"/>
      <c r="ABL79" s="13"/>
      <c r="ABM79" s="13"/>
      <c r="ABN79" s="13"/>
      <c r="ABO79" s="13"/>
      <c r="ABP79" s="13"/>
      <c r="ABQ79" s="13"/>
      <c r="ABR79" s="13"/>
      <c r="ABS79" s="13"/>
      <c r="ABT79" s="13"/>
      <c r="ABU79" s="13"/>
      <c r="ABV79" s="13"/>
      <c r="ABW79" s="13"/>
      <c r="ABX79" s="13"/>
    </row>
    <row r="80" spans="1:752" s="24" customFormat="1" ht="15" customHeight="1" x14ac:dyDescent="0.3">
      <c r="A80" s="13"/>
      <c r="B80" s="130" t="s">
        <v>3</v>
      </c>
      <c r="C80" s="95"/>
      <c r="D80" s="131" t="s">
        <v>109</v>
      </c>
      <c r="E80" s="103">
        <f t="shared" ref="E80:P80" si="74">E64+E57+E71+E76</f>
        <v>14825569.738140911</v>
      </c>
      <c r="F80" s="104">
        <f t="shared" si="74"/>
        <v>3563119.1565330215</v>
      </c>
      <c r="G80" s="104">
        <f t="shared" si="74"/>
        <v>949254.61543031863</v>
      </c>
      <c r="H80" s="104">
        <f t="shared" si="74"/>
        <v>487410.82303795306</v>
      </c>
      <c r="I80" s="104">
        <f t="shared" si="74"/>
        <v>203986.65899032896</v>
      </c>
      <c r="J80" s="104">
        <f t="shared" si="74"/>
        <v>119653.51567635931</v>
      </c>
      <c r="K80" s="104">
        <f t="shared" si="74"/>
        <v>107626.36806165805</v>
      </c>
      <c r="L80" s="104">
        <f t="shared" si="74"/>
        <v>106992.4057790806</v>
      </c>
      <c r="M80" s="104">
        <f t="shared" si="74"/>
        <v>121743.5105819079</v>
      </c>
      <c r="N80" s="104">
        <f t="shared" si="74"/>
        <v>144811.39824684703</v>
      </c>
      <c r="O80" s="104">
        <f t="shared" si="74"/>
        <v>173624.8860176547</v>
      </c>
      <c r="P80" s="143">
        <f t="shared" si="74"/>
        <v>206280.75323326187</v>
      </c>
      <c r="Q80" s="143">
        <f t="shared" ref="Q80:U80" si="75">Q64+Q57+Q71+Q76</f>
        <v>244374.25117876375</v>
      </c>
      <c r="R80" s="143">
        <f t="shared" si="75"/>
        <v>279167.59995474055</v>
      </c>
      <c r="S80" s="143">
        <f t="shared" si="75"/>
        <v>312556.91109134484</v>
      </c>
      <c r="T80" s="143">
        <f t="shared" si="75"/>
        <v>343726.89013018558</v>
      </c>
      <c r="U80" s="144">
        <f t="shared" si="75"/>
        <v>366159.81023941905</v>
      </c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  <c r="QG80" s="13"/>
      <c r="QH80" s="13"/>
      <c r="QI80" s="13"/>
      <c r="QJ80" s="13"/>
      <c r="QK80" s="13"/>
      <c r="QL80" s="13"/>
      <c r="QM80" s="13"/>
      <c r="QN80" s="13"/>
      <c r="QO80" s="13"/>
      <c r="QP80" s="13"/>
      <c r="QQ80" s="13"/>
      <c r="QR80" s="13"/>
      <c r="QS80" s="13"/>
      <c r="QT80" s="13"/>
      <c r="QU80" s="13"/>
      <c r="QV80" s="13"/>
      <c r="QW80" s="13"/>
      <c r="QX80" s="13"/>
      <c r="QY80" s="13"/>
      <c r="QZ80" s="13"/>
      <c r="RA80" s="13"/>
      <c r="RB80" s="13"/>
      <c r="RC80" s="13"/>
      <c r="RD80" s="13"/>
      <c r="RE80" s="13"/>
      <c r="RF80" s="13"/>
      <c r="RG80" s="13"/>
      <c r="RH80" s="13"/>
      <c r="RI80" s="13"/>
      <c r="RJ80" s="13"/>
      <c r="RK80" s="13"/>
      <c r="RL80" s="13"/>
      <c r="RM80" s="13"/>
      <c r="RN80" s="13"/>
      <c r="RO80" s="13"/>
      <c r="RP80" s="13"/>
      <c r="RQ80" s="13"/>
      <c r="RR80" s="13"/>
      <c r="RS80" s="13"/>
      <c r="RT80" s="13"/>
      <c r="RU80" s="13"/>
      <c r="RV80" s="13"/>
      <c r="RW80" s="13"/>
      <c r="RX80" s="13"/>
      <c r="RY80" s="13"/>
      <c r="RZ80" s="13"/>
      <c r="SA80" s="13"/>
      <c r="SB80" s="13"/>
      <c r="SC80" s="13"/>
      <c r="SD80" s="13"/>
      <c r="SE80" s="13"/>
      <c r="SF80" s="13"/>
      <c r="SG80" s="13"/>
      <c r="SH80" s="13"/>
      <c r="SI80" s="13"/>
      <c r="SJ80" s="13"/>
      <c r="SK80" s="13"/>
      <c r="SL80" s="13"/>
      <c r="SM80" s="13"/>
      <c r="SN80" s="13"/>
      <c r="SO80" s="13"/>
      <c r="SP80" s="13"/>
      <c r="SQ80" s="13"/>
      <c r="SR80" s="13"/>
      <c r="SS80" s="13"/>
      <c r="ST80" s="13"/>
      <c r="SU80" s="13"/>
      <c r="SV80" s="13"/>
      <c r="SW80" s="13"/>
      <c r="SX80" s="13"/>
      <c r="SY80" s="13"/>
      <c r="SZ80" s="13"/>
      <c r="TA80" s="13"/>
      <c r="TB80" s="13"/>
      <c r="TC80" s="13"/>
      <c r="TD80" s="13"/>
      <c r="TE80" s="13"/>
      <c r="TF80" s="13"/>
      <c r="TG80" s="13"/>
      <c r="TH80" s="13"/>
      <c r="TI80" s="13"/>
      <c r="TJ80" s="13"/>
      <c r="TK80" s="13"/>
      <c r="TL80" s="13"/>
      <c r="TM80" s="13"/>
      <c r="TN80" s="13"/>
      <c r="TO80" s="13"/>
      <c r="TP80" s="13"/>
      <c r="TQ80" s="13"/>
      <c r="TR80" s="13"/>
      <c r="TS80" s="13"/>
      <c r="TT80" s="13"/>
      <c r="TU80" s="13"/>
      <c r="TV80" s="13"/>
      <c r="TW80" s="13"/>
      <c r="TX80" s="13"/>
      <c r="TY80" s="13"/>
      <c r="TZ80" s="13"/>
      <c r="UA80" s="13"/>
      <c r="UB80" s="13"/>
      <c r="UC80" s="13"/>
      <c r="UD80" s="13"/>
      <c r="UE80" s="13"/>
      <c r="UF80" s="13"/>
      <c r="UG80" s="13"/>
      <c r="UH80" s="13"/>
      <c r="UI80" s="13"/>
      <c r="UJ80" s="13"/>
      <c r="UK80" s="13"/>
      <c r="UL80" s="13"/>
      <c r="UM80" s="13"/>
      <c r="UN80" s="13"/>
      <c r="UO80" s="13"/>
      <c r="UP80" s="13"/>
      <c r="UQ80" s="13"/>
      <c r="UR80" s="13"/>
      <c r="US80" s="13"/>
      <c r="UT80" s="13"/>
      <c r="UU80" s="13"/>
      <c r="UV80" s="13"/>
      <c r="UW80" s="13"/>
      <c r="UX80" s="13"/>
      <c r="UY80" s="13"/>
      <c r="UZ80" s="13"/>
      <c r="VA80" s="13"/>
      <c r="VB80" s="13"/>
      <c r="VC80" s="13"/>
      <c r="VD80" s="13"/>
      <c r="VE80" s="13"/>
      <c r="VF80" s="13"/>
      <c r="VG80" s="13"/>
      <c r="VH80" s="13"/>
      <c r="VI80" s="13"/>
      <c r="VJ80" s="13"/>
      <c r="VK80" s="13"/>
      <c r="VL80" s="13"/>
      <c r="VM80" s="13"/>
      <c r="VN80" s="13"/>
      <c r="VO80" s="13"/>
      <c r="VP80" s="13"/>
      <c r="VQ80" s="13"/>
      <c r="VR80" s="13"/>
      <c r="VS80" s="13"/>
      <c r="VT80" s="13"/>
      <c r="VU80" s="13"/>
      <c r="VV80" s="13"/>
      <c r="VW80" s="13"/>
      <c r="VX80" s="13"/>
      <c r="VY80" s="13"/>
      <c r="VZ80" s="13"/>
      <c r="WA80" s="13"/>
      <c r="WB80" s="13"/>
      <c r="WC80" s="13"/>
      <c r="WD80" s="13"/>
      <c r="WE80" s="13"/>
      <c r="WF80" s="13"/>
      <c r="WG80" s="13"/>
      <c r="WH80" s="13"/>
      <c r="WI80" s="13"/>
      <c r="WJ80" s="13"/>
      <c r="WK80" s="13"/>
      <c r="WL80" s="13"/>
      <c r="WM80" s="13"/>
      <c r="WN80" s="13"/>
      <c r="WO80" s="13"/>
      <c r="WP80" s="13"/>
      <c r="WQ80" s="13"/>
      <c r="WR80" s="13"/>
      <c r="WS80" s="13"/>
      <c r="WT80" s="13"/>
      <c r="WU80" s="13"/>
      <c r="WV80" s="13"/>
      <c r="WW80" s="13"/>
      <c r="WX80" s="13"/>
      <c r="WY80" s="13"/>
      <c r="WZ80" s="13"/>
      <c r="XA80" s="13"/>
      <c r="XB80" s="13"/>
      <c r="XC80" s="13"/>
      <c r="XD80" s="13"/>
      <c r="XE80" s="13"/>
      <c r="XF80" s="13"/>
      <c r="XG80" s="13"/>
      <c r="XH80" s="13"/>
      <c r="XI80" s="13"/>
      <c r="XJ80" s="13"/>
      <c r="XK80" s="13"/>
      <c r="XL80" s="13"/>
      <c r="XM80" s="13"/>
      <c r="XN80" s="13"/>
      <c r="XO80" s="13"/>
      <c r="XP80" s="13"/>
      <c r="XQ80" s="13"/>
      <c r="XR80" s="13"/>
      <c r="XS80" s="13"/>
      <c r="XT80" s="13"/>
      <c r="XU80" s="13"/>
      <c r="XV80" s="13"/>
      <c r="XW80" s="13"/>
      <c r="XX80" s="13"/>
      <c r="XY80" s="13"/>
      <c r="XZ80" s="13"/>
      <c r="YA80" s="13"/>
      <c r="YB80" s="13"/>
      <c r="YC80" s="13"/>
      <c r="YD80" s="13"/>
      <c r="YE80" s="13"/>
      <c r="YF80" s="13"/>
      <c r="YG80" s="13"/>
      <c r="YH80" s="13"/>
      <c r="YI80" s="13"/>
      <c r="YJ80" s="13"/>
      <c r="YK80" s="13"/>
      <c r="YL80" s="13"/>
      <c r="YM80" s="13"/>
      <c r="YN80" s="13"/>
      <c r="YO80" s="13"/>
      <c r="YP80" s="13"/>
      <c r="YQ80" s="13"/>
      <c r="YR80" s="13"/>
      <c r="YS80" s="13"/>
      <c r="YT80" s="13"/>
      <c r="YU80" s="13"/>
      <c r="YV80" s="13"/>
      <c r="YW80" s="13"/>
      <c r="YX80" s="13"/>
      <c r="YY80" s="13"/>
      <c r="YZ80" s="13"/>
      <c r="ZA80" s="13"/>
      <c r="ZB80" s="13"/>
      <c r="ZC80" s="13"/>
      <c r="ZD80" s="13"/>
      <c r="ZE80" s="13"/>
      <c r="ZF80" s="13"/>
      <c r="ZG80" s="13"/>
      <c r="ZH80" s="13"/>
      <c r="ZI80" s="13"/>
      <c r="ZJ80" s="13"/>
      <c r="ZK80" s="13"/>
      <c r="ZL80" s="13"/>
      <c r="ZM80" s="13"/>
      <c r="ZN80" s="13"/>
      <c r="ZO80" s="13"/>
      <c r="ZP80" s="13"/>
      <c r="ZQ80" s="13"/>
      <c r="ZR80" s="13"/>
      <c r="ZS80" s="13"/>
      <c r="ZT80" s="13"/>
      <c r="ZU80" s="13"/>
      <c r="ZV80" s="13"/>
      <c r="ZW80" s="13"/>
      <c r="ZX80" s="13"/>
      <c r="ZY80" s="13"/>
      <c r="ZZ80" s="13"/>
      <c r="AAA80" s="13"/>
      <c r="AAB80" s="13"/>
      <c r="AAC80" s="13"/>
      <c r="AAD80" s="13"/>
      <c r="AAE80" s="13"/>
      <c r="AAF80" s="13"/>
      <c r="AAG80" s="13"/>
      <c r="AAH80" s="13"/>
      <c r="AAI80" s="13"/>
      <c r="AAJ80" s="13"/>
      <c r="AAK80" s="13"/>
      <c r="AAL80" s="13"/>
      <c r="AAM80" s="13"/>
      <c r="AAN80" s="13"/>
      <c r="AAO80" s="13"/>
      <c r="AAP80" s="13"/>
      <c r="AAQ80" s="13"/>
      <c r="AAR80" s="13"/>
      <c r="AAS80" s="13"/>
      <c r="AAT80" s="13"/>
      <c r="AAU80" s="13"/>
      <c r="AAV80" s="13"/>
      <c r="AAW80" s="13"/>
      <c r="AAX80" s="13"/>
      <c r="AAY80" s="13"/>
      <c r="AAZ80" s="13"/>
      <c r="ABA80" s="13"/>
      <c r="ABB80" s="13"/>
      <c r="ABC80" s="13"/>
      <c r="ABD80" s="13"/>
      <c r="ABE80" s="13"/>
      <c r="ABF80" s="13"/>
      <c r="ABG80" s="13"/>
      <c r="ABH80" s="13"/>
      <c r="ABI80" s="13"/>
      <c r="ABJ80" s="13"/>
      <c r="ABK80" s="13"/>
      <c r="ABL80" s="13"/>
      <c r="ABM80" s="13"/>
      <c r="ABN80" s="13"/>
      <c r="ABO80" s="13"/>
      <c r="ABP80" s="13"/>
      <c r="ABQ80" s="13"/>
      <c r="ABR80" s="13"/>
      <c r="ABS80" s="13"/>
      <c r="ABT80" s="13"/>
      <c r="ABU80" s="13"/>
      <c r="ABV80" s="13"/>
      <c r="ABW80" s="13"/>
      <c r="ABX80" s="13"/>
    </row>
    <row r="81" spans="1:752" s="24" customFormat="1" ht="15" customHeight="1" x14ac:dyDescent="0.3">
      <c r="A81" s="13"/>
      <c r="B81" s="132" t="s">
        <v>81</v>
      </c>
      <c r="C81" s="47"/>
      <c r="D81" s="133" t="s">
        <v>7</v>
      </c>
      <c r="E81" s="150">
        <f t="shared" ref="E81:U81" si="76">E80*100/($C$21*1000)</f>
        <v>429.47768650466139</v>
      </c>
      <c r="F81" s="106">
        <f t="shared" si="76"/>
        <v>103.21897904209216</v>
      </c>
      <c r="G81" s="106">
        <f t="shared" si="76"/>
        <v>27.498685267390456</v>
      </c>
      <c r="H81" s="106">
        <f t="shared" si="76"/>
        <v>14.119664630299916</v>
      </c>
      <c r="I81" s="106">
        <f t="shared" si="76"/>
        <v>5.9092311410871652</v>
      </c>
      <c r="J81" s="106">
        <f t="shared" si="76"/>
        <v>3.4662084494889718</v>
      </c>
      <c r="K81" s="106">
        <f t="shared" si="76"/>
        <v>3.117797452539341</v>
      </c>
      <c r="L81" s="106">
        <f t="shared" si="76"/>
        <v>3.0994323806222654</v>
      </c>
      <c r="M81" s="106">
        <f t="shared" si="76"/>
        <v>3.5267529137285027</v>
      </c>
      <c r="N81" s="106">
        <f t="shared" si="76"/>
        <v>4.1949999492134138</v>
      </c>
      <c r="O81" s="106">
        <f t="shared" si="76"/>
        <v>5.0296896297118971</v>
      </c>
      <c r="P81" s="106">
        <f t="shared" si="76"/>
        <v>5.9756881006159288</v>
      </c>
      <c r="Q81" s="106">
        <f t="shared" si="76"/>
        <v>7.0792077398251374</v>
      </c>
      <c r="R81" s="106">
        <f t="shared" si="76"/>
        <v>8.0871263022810123</v>
      </c>
      <c r="S81" s="106">
        <f t="shared" si="76"/>
        <v>9.054371700212771</v>
      </c>
      <c r="T81" s="106">
        <f t="shared" si="76"/>
        <v>9.9573259018014362</v>
      </c>
      <c r="U81" s="107">
        <f t="shared" si="76"/>
        <v>10.607178743899741</v>
      </c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  <c r="ABI81" s="13"/>
      <c r="ABJ81" s="13"/>
      <c r="ABK81" s="13"/>
      <c r="ABL81" s="13"/>
      <c r="ABM81" s="13"/>
      <c r="ABN81" s="13"/>
      <c r="ABO81" s="13"/>
      <c r="ABP81" s="13"/>
      <c r="ABQ81" s="13"/>
      <c r="ABR81" s="13"/>
      <c r="ABS81" s="13"/>
      <c r="ABT81" s="13"/>
      <c r="ABU81" s="13"/>
      <c r="ABV81" s="13"/>
      <c r="ABW81" s="13"/>
      <c r="ABX81" s="13"/>
    </row>
    <row r="82" spans="1:752" s="135" customFormat="1" ht="15" customHeight="1" x14ac:dyDescent="0.3">
      <c r="A82" s="134"/>
      <c r="B82" s="185"/>
      <c r="C82" s="185"/>
      <c r="D82" s="186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  <c r="DU82" s="134"/>
      <c r="DV82" s="134"/>
      <c r="DW82" s="134"/>
      <c r="DX82" s="134"/>
      <c r="DY82" s="134"/>
      <c r="DZ82" s="134"/>
      <c r="EA82" s="134"/>
      <c r="EB82" s="134"/>
      <c r="EC82" s="134"/>
      <c r="ED82" s="134"/>
      <c r="EE82" s="134"/>
      <c r="EF82" s="134"/>
      <c r="EG82" s="134"/>
      <c r="EH82" s="134"/>
      <c r="EI82" s="134"/>
      <c r="EJ82" s="134"/>
      <c r="EK82" s="134"/>
      <c r="EL82" s="134"/>
      <c r="EM82" s="134"/>
      <c r="EN82" s="134"/>
      <c r="EO82" s="134"/>
      <c r="EP82" s="134"/>
      <c r="EQ82" s="134"/>
      <c r="ER82" s="134"/>
      <c r="ES82" s="134"/>
      <c r="ET82" s="134"/>
      <c r="EU82" s="134"/>
      <c r="EV82" s="134"/>
      <c r="EW82" s="134"/>
      <c r="EX82" s="134"/>
      <c r="EY82" s="134"/>
      <c r="EZ82" s="134"/>
      <c r="FA82" s="134"/>
      <c r="FB82" s="134"/>
      <c r="FC82" s="134"/>
      <c r="FD82" s="134"/>
      <c r="FE82" s="134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34"/>
      <c r="GM82" s="134"/>
      <c r="GN82" s="134"/>
      <c r="GO82" s="134"/>
      <c r="GP82" s="134"/>
      <c r="GQ82" s="134"/>
      <c r="GR82" s="134"/>
      <c r="GS82" s="134"/>
      <c r="GT82" s="134"/>
      <c r="GU82" s="134"/>
      <c r="GV82" s="134"/>
      <c r="GW82" s="134"/>
      <c r="GX82" s="134"/>
      <c r="GY82" s="134"/>
      <c r="GZ82" s="134"/>
      <c r="HA82" s="134"/>
      <c r="HB82" s="134"/>
      <c r="HC82" s="134"/>
      <c r="HD82" s="134"/>
      <c r="HE82" s="134"/>
      <c r="HF82" s="134"/>
      <c r="HG82" s="134"/>
      <c r="HH82" s="134"/>
      <c r="HI82" s="134"/>
      <c r="HJ82" s="134"/>
      <c r="HK82" s="134"/>
      <c r="HL82" s="134"/>
      <c r="HM82" s="134"/>
      <c r="HN82" s="134"/>
      <c r="HO82" s="134"/>
      <c r="HP82" s="134"/>
      <c r="HQ82" s="134"/>
      <c r="HR82" s="134"/>
      <c r="HS82" s="134"/>
      <c r="HT82" s="134"/>
      <c r="HU82" s="134"/>
      <c r="HV82" s="134"/>
      <c r="HW82" s="134"/>
      <c r="HX82" s="134"/>
      <c r="HY82" s="134"/>
      <c r="HZ82" s="134"/>
      <c r="IA82" s="134"/>
      <c r="IB82" s="134"/>
      <c r="IC82" s="134"/>
      <c r="ID82" s="134"/>
      <c r="IE82" s="134"/>
      <c r="IF82" s="134"/>
      <c r="IG82" s="134"/>
      <c r="IH82" s="134"/>
      <c r="II82" s="134"/>
      <c r="IJ82" s="134"/>
      <c r="IK82" s="134"/>
      <c r="IL82" s="134"/>
      <c r="IM82" s="134"/>
      <c r="IN82" s="134"/>
      <c r="IO82" s="134"/>
      <c r="IP82" s="134"/>
      <c r="IQ82" s="134"/>
      <c r="IR82" s="134"/>
      <c r="IS82" s="134"/>
      <c r="IT82" s="134"/>
      <c r="IU82" s="134"/>
      <c r="IV82" s="134"/>
      <c r="IW82" s="134"/>
      <c r="IX82" s="134"/>
      <c r="IY82" s="134"/>
      <c r="IZ82" s="134"/>
      <c r="JA82" s="134"/>
      <c r="JB82" s="134"/>
      <c r="JC82" s="134"/>
      <c r="JD82" s="134"/>
      <c r="JE82" s="134"/>
      <c r="JF82" s="134"/>
      <c r="JG82" s="134"/>
      <c r="JH82" s="134"/>
      <c r="JI82" s="134"/>
      <c r="JJ82" s="134"/>
      <c r="JK82" s="134"/>
      <c r="JL82" s="134"/>
      <c r="JM82" s="134"/>
      <c r="JN82" s="134"/>
      <c r="JO82" s="134"/>
      <c r="JP82" s="134"/>
      <c r="JQ82" s="134"/>
      <c r="JR82" s="134"/>
      <c r="JS82" s="134"/>
      <c r="JT82" s="134"/>
      <c r="JU82" s="134"/>
      <c r="JV82" s="134"/>
      <c r="JW82" s="134"/>
      <c r="JX82" s="134"/>
      <c r="JY82" s="134"/>
      <c r="JZ82" s="134"/>
      <c r="KA82" s="134"/>
      <c r="KB82" s="134"/>
      <c r="KC82" s="134"/>
      <c r="KD82" s="134"/>
      <c r="KE82" s="134"/>
      <c r="KF82" s="134"/>
      <c r="KG82" s="134"/>
      <c r="KH82" s="134"/>
      <c r="KI82" s="134"/>
      <c r="KJ82" s="134"/>
      <c r="KK82" s="134"/>
      <c r="KL82" s="134"/>
      <c r="KM82" s="134"/>
      <c r="KN82" s="134"/>
      <c r="KO82" s="134"/>
      <c r="KP82" s="134"/>
      <c r="KQ82" s="134"/>
      <c r="KR82" s="134"/>
      <c r="KS82" s="134"/>
      <c r="KT82" s="134"/>
      <c r="KU82" s="134"/>
      <c r="KV82" s="134"/>
      <c r="KW82" s="134"/>
      <c r="KX82" s="134"/>
      <c r="KY82" s="134"/>
      <c r="KZ82" s="134"/>
      <c r="LA82" s="134"/>
      <c r="LB82" s="134"/>
      <c r="LC82" s="134"/>
      <c r="LD82" s="134"/>
      <c r="LE82" s="134"/>
      <c r="LF82" s="134"/>
      <c r="LG82" s="134"/>
      <c r="LH82" s="134"/>
      <c r="LI82" s="134"/>
      <c r="LJ82" s="134"/>
      <c r="LK82" s="134"/>
      <c r="LL82" s="134"/>
      <c r="LM82" s="134"/>
      <c r="LN82" s="134"/>
      <c r="LO82" s="134"/>
      <c r="LP82" s="134"/>
      <c r="LQ82" s="134"/>
      <c r="LR82" s="134"/>
      <c r="LS82" s="134"/>
      <c r="LT82" s="134"/>
      <c r="LU82" s="134"/>
      <c r="LV82" s="134"/>
      <c r="LW82" s="134"/>
      <c r="LX82" s="134"/>
      <c r="LY82" s="134"/>
      <c r="LZ82" s="134"/>
      <c r="MA82" s="134"/>
      <c r="MB82" s="134"/>
      <c r="MC82" s="134"/>
      <c r="MD82" s="134"/>
      <c r="ME82" s="134"/>
      <c r="MF82" s="134"/>
      <c r="MG82" s="134"/>
      <c r="MH82" s="134"/>
      <c r="MI82" s="134"/>
      <c r="MJ82" s="134"/>
      <c r="MK82" s="134"/>
      <c r="ML82" s="134"/>
      <c r="MM82" s="134"/>
      <c r="MN82" s="134"/>
      <c r="MO82" s="134"/>
      <c r="MP82" s="134"/>
      <c r="MQ82" s="134"/>
      <c r="MR82" s="134"/>
      <c r="MS82" s="134"/>
      <c r="MT82" s="134"/>
      <c r="MU82" s="134"/>
      <c r="MV82" s="134"/>
      <c r="MW82" s="134"/>
      <c r="MX82" s="134"/>
      <c r="MY82" s="134"/>
      <c r="MZ82" s="134"/>
      <c r="NA82" s="134"/>
      <c r="NB82" s="134"/>
      <c r="NC82" s="134"/>
      <c r="ND82" s="134"/>
      <c r="NE82" s="134"/>
      <c r="NF82" s="134"/>
      <c r="NG82" s="134"/>
      <c r="NH82" s="134"/>
      <c r="NI82" s="134"/>
      <c r="NJ82" s="134"/>
      <c r="NK82" s="134"/>
      <c r="NL82" s="134"/>
      <c r="NM82" s="134"/>
      <c r="NN82" s="134"/>
      <c r="NO82" s="134"/>
      <c r="NP82" s="134"/>
      <c r="NQ82" s="134"/>
      <c r="NR82" s="134"/>
      <c r="NS82" s="134"/>
      <c r="NT82" s="134"/>
      <c r="NU82" s="134"/>
      <c r="NV82" s="134"/>
      <c r="NW82" s="134"/>
      <c r="NX82" s="134"/>
      <c r="NY82" s="134"/>
      <c r="NZ82" s="134"/>
      <c r="OA82" s="134"/>
      <c r="OB82" s="134"/>
      <c r="OC82" s="134"/>
      <c r="OD82" s="134"/>
      <c r="OE82" s="134"/>
      <c r="OF82" s="134"/>
      <c r="OG82" s="134"/>
      <c r="OH82" s="134"/>
      <c r="OI82" s="134"/>
      <c r="OJ82" s="134"/>
      <c r="OK82" s="134"/>
      <c r="OL82" s="134"/>
      <c r="OM82" s="134"/>
      <c r="ON82" s="134"/>
      <c r="OO82" s="134"/>
      <c r="OP82" s="134"/>
      <c r="OQ82" s="134"/>
      <c r="OR82" s="134"/>
      <c r="OS82" s="134"/>
      <c r="OT82" s="134"/>
      <c r="OU82" s="134"/>
      <c r="OV82" s="134"/>
      <c r="OW82" s="134"/>
      <c r="OX82" s="134"/>
      <c r="OY82" s="134"/>
      <c r="OZ82" s="134"/>
      <c r="PA82" s="134"/>
      <c r="PB82" s="134"/>
      <c r="PC82" s="134"/>
      <c r="PD82" s="134"/>
      <c r="PE82" s="134"/>
      <c r="PF82" s="134"/>
      <c r="PG82" s="134"/>
      <c r="PH82" s="134"/>
      <c r="PI82" s="134"/>
      <c r="PJ82" s="134"/>
      <c r="PK82" s="134"/>
      <c r="PL82" s="134"/>
      <c r="PM82" s="134"/>
      <c r="PN82" s="134"/>
      <c r="PO82" s="134"/>
      <c r="PP82" s="134"/>
      <c r="PQ82" s="134"/>
      <c r="PR82" s="134"/>
      <c r="PS82" s="134"/>
      <c r="PT82" s="134"/>
      <c r="PU82" s="134"/>
      <c r="PV82" s="134"/>
      <c r="PW82" s="134"/>
      <c r="PX82" s="134"/>
      <c r="PY82" s="134"/>
      <c r="PZ82" s="134"/>
      <c r="QA82" s="134"/>
      <c r="QB82" s="134"/>
      <c r="QC82" s="134"/>
      <c r="QD82" s="134"/>
      <c r="QE82" s="134"/>
      <c r="QF82" s="134"/>
      <c r="QG82" s="134"/>
      <c r="QH82" s="134"/>
      <c r="QI82" s="134"/>
      <c r="QJ82" s="134"/>
      <c r="QK82" s="134"/>
      <c r="QL82" s="134"/>
      <c r="QM82" s="134"/>
      <c r="QN82" s="134"/>
      <c r="QO82" s="134"/>
      <c r="QP82" s="134"/>
      <c r="QQ82" s="134"/>
      <c r="QR82" s="134"/>
      <c r="QS82" s="134"/>
      <c r="QT82" s="134"/>
      <c r="QU82" s="134"/>
      <c r="QV82" s="134"/>
      <c r="QW82" s="134"/>
      <c r="QX82" s="134"/>
      <c r="QY82" s="134"/>
      <c r="QZ82" s="134"/>
      <c r="RA82" s="134"/>
      <c r="RB82" s="134"/>
      <c r="RC82" s="134"/>
      <c r="RD82" s="134"/>
      <c r="RE82" s="134"/>
      <c r="RF82" s="134"/>
      <c r="RG82" s="134"/>
      <c r="RH82" s="134"/>
      <c r="RI82" s="134"/>
      <c r="RJ82" s="134"/>
      <c r="RK82" s="134"/>
      <c r="RL82" s="134"/>
      <c r="RM82" s="134"/>
      <c r="RN82" s="134"/>
      <c r="RO82" s="134"/>
      <c r="RP82" s="134"/>
      <c r="RQ82" s="134"/>
      <c r="RR82" s="134"/>
      <c r="RS82" s="134"/>
      <c r="RT82" s="134"/>
      <c r="RU82" s="134"/>
      <c r="RV82" s="134"/>
      <c r="RW82" s="134"/>
      <c r="RX82" s="134"/>
      <c r="RY82" s="134"/>
      <c r="RZ82" s="134"/>
      <c r="SA82" s="134"/>
      <c r="SB82" s="134"/>
      <c r="SC82" s="134"/>
      <c r="SD82" s="134"/>
      <c r="SE82" s="134"/>
      <c r="SF82" s="134"/>
      <c r="SG82" s="134"/>
      <c r="SH82" s="134"/>
      <c r="SI82" s="134"/>
      <c r="SJ82" s="134"/>
      <c r="SK82" s="134"/>
      <c r="SL82" s="134"/>
      <c r="SM82" s="134"/>
      <c r="SN82" s="134"/>
      <c r="SO82" s="134"/>
      <c r="SP82" s="134"/>
      <c r="SQ82" s="134"/>
      <c r="SR82" s="134"/>
      <c r="SS82" s="134"/>
      <c r="ST82" s="134"/>
      <c r="SU82" s="134"/>
      <c r="SV82" s="134"/>
      <c r="SW82" s="134"/>
      <c r="SX82" s="134"/>
      <c r="SY82" s="134"/>
      <c r="SZ82" s="134"/>
      <c r="TA82" s="134"/>
      <c r="TB82" s="134"/>
      <c r="TC82" s="134"/>
      <c r="TD82" s="134"/>
      <c r="TE82" s="134"/>
      <c r="TF82" s="134"/>
      <c r="TG82" s="134"/>
      <c r="TH82" s="134"/>
      <c r="TI82" s="134"/>
      <c r="TJ82" s="134"/>
      <c r="TK82" s="134"/>
      <c r="TL82" s="134"/>
      <c r="TM82" s="134"/>
      <c r="TN82" s="134"/>
      <c r="TO82" s="134"/>
      <c r="TP82" s="134"/>
      <c r="TQ82" s="134"/>
      <c r="TR82" s="134"/>
      <c r="TS82" s="134"/>
      <c r="TT82" s="134"/>
      <c r="TU82" s="134"/>
      <c r="TV82" s="134"/>
      <c r="TW82" s="134"/>
      <c r="TX82" s="134"/>
      <c r="TY82" s="134"/>
      <c r="TZ82" s="134"/>
      <c r="UA82" s="134"/>
      <c r="UB82" s="134"/>
      <c r="UC82" s="134"/>
      <c r="UD82" s="134"/>
      <c r="UE82" s="134"/>
      <c r="UF82" s="134"/>
      <c r="UG82" s="134"/>
      <c r="UH82" s="134"/>
      <c r="UI82" s="134"/>
      <c r="UJ82" s="134"/>
      <c r="UK82" s="134"/>
      <c r="UL82" s="134"/>
      <c r="UM82" s="134"/>
      <c r="UN82" s="134"/>
      <c r="UO82" s="134"/>
      <c r="UP82" s="134"/>
      <c r="UQ82" s="134"/>
      <c r="UR82" s="134"/>
      <c r="US82" s="134"/>
      <c r="UT82" s="134"/>
      <c r="UU82" s="134"/>
      <c r="UV82" s="134"/>
      <c r="UW82" s="134"/>
      <c r="UX82" s="134"/>
      <c r="UY82" s="134"/>
      <c r="UZ82" s="134"/>
      <c r="VA82" s="134"/>
      <c r="VB82" s="134"/>
      <c r="VC82" s="134"/>
      <c r="VD82" s="134"/>
      <c r="VE82" s="134"/>
      <c r="VF82" s="134"/>
      <c r="VG82" s="134"/>
      <c r="VH82" s="134"/>
      <c r="VI82" s="134"/>
      <c r="VJ82" s="134"/>
      <c r="VK82" s="134"/>
      <c r="VL82" s="134"/>
      <c r="VM82" s="134"/>
      <c r="VN82" s="134"/>
      <c r="VO82" s="134"/>
      <c r="VP82" s="134"/>
      <c r="VQ82" s="134"/>
      <c r="VR82" s="134"/>
      <c r="VS82" s="134"/>
      <c r="VT82" s="134"/>
      <c r="VU82" s="134"/>
      <c r="VV82" s="134"/>
      <c r="VW82" s="134"/>
      <c r="VX82" s="134"/>
      <c r="VY82" s="134"/>
      <c r="VZ82" s="134"/>
      <c r="WA82" s="134"/>
      <c r="WB82" s="134"/>
      <c r="WC82" s="134"/>
      <c r="WD82" s="134"/>
      <c r="WE82" s="134"/>
      <c r="WF82" s="134"/>
      <c r="WG82" s="134"/>
      <c r="WH82" s="134"/>
      <c r="WI82" s="134"/>
      <c r="WJ82" s="134"/>
      <c r="WK82" s="134"/>
      <c r="WL82" s="134"/>
      <c r="WM82" s="134"/>
      <c r="WN82" s="134"/>
      <c r="WO82" s="134"/>
      <c r="WP82" s="134"/>
      <c r="WQ82" s="134"/>
      <c r="WR82" s="134"/>
      <c r="WS82" s="134"/>
      <c r="WT82" s="134"/>
      <c r="WU82" s="134"/>
      <c r="WV82" s="134"/>
      <c r="WW82" s="134"/>
      <c r="WX82" s="134"/>
      <c r="WY82" s="134"/>
      <c r="WZ82" s="134"/>
      <c r="XA82" s="134"/>
      <c r="XB82" s="134"/>
      <c r="XC82" s="134"/>
      <c r="XD82" s="134"/>
      <c r="XE82" s="134"/>
      <c r="XF82" s="134"/>
      <c r="XG82" s="134"/>
      <c r="XH82" s="134"/>
      <c r="XI82" s="134"/>
      <c r="XJ82" s="134"/>
      <c r="XK82" s="134"/>
      <c r="XL82" s="134"/>
      <c r="XM82" s="134"/>
      <c r="XN82" s="134"/>
      <c r="XO82" s="134"/>
      <c r="XP82" s="134"/>
      <c r="XQ82" s="134"/>
      <c r="XR82" s="134"/>
      <c r="XS82" s="134"/>
      <c r="XT82" s="134"/>
      <c r="XU82" s="134"/>
      <c r="XV82" s="134"/>
      <c r="XW82" s="134"/>
      <c r="XX82" s="134"/>
      <c r="XY82" s="134"/>
      <c r="XZ82" s="134"/>
      <c r="YA82" s="134"/>
      <c r="YB82" s="134"/>
      <c r="YC82" s="134"/>
      <c r="YD82" s="134"/>
      <c r="YE82" s="134"/>
      <c r="YF82" s="134"/>
      <c r="YG82" s="134"/>
      <c r="YH82" s="134"/>
      <c r="YI82" s="134"/>
      <c r="YJ82" s="134"/>
      <c r="YK82" s="134"/>
      <c r="YL82" s="134"/>
      <c r="YM82" s="134"/>
      <c r="YN82" s="134"/>
      <c r="YO82" s="134"/>
      <c r="YP82" s="134"/>
      <c r="YQ82" s="134"/>
      <c r="YR82" s="134"/>
      <c r="YS82" s="134"/>
      <c r="YT82" s="134"/>
      <c r="YU82" s="134"/>
      <c r="YV82" s="134"/>
      <c r="YW82" s="134"/>
      <c r="YX82" s="134"/>
      <c r="YY82" s="134"/>
      <c r="YZ82" s="134"/>
      <c r="ZA82" s="134"/>
      <c r="ZB82" s="134"/>
      <c r="ZC82" s="134"/>
      <c r="ZD82" s="134"/>
      <c r="ZE82" s="134"/>
      <c r="ZF82" s="134"/>
      <c r="ZG82" s="134"/>
      <c r="ZH82" s="134"/>
      <c r="ZI82" s="134"/>
      <c r="ZJ82" s="134"/>
      <c r="ZK82" s="134"/>
      <c r="ZL82" s="134"/>
      <c r="ZM82" s="134"/>
      <c r="ZN82" s="134"/>
      <c r="ZO82" s="134"/>
      <c r="ZP82" s="134"/>
      <c r="ZQ82" s="134"/>
      <c r="ZR82" s="134"/>
      <c r="ZS82" s="134"/>
      <c r="ZT82" s="134"/>
      <c r="ZU82" s="134"/>
      <c r="ZV82" s="134"/>
      <c r="ZW82" s="134"/>
      <c r="ZX82" s="134"/>
      <c r="ZY82" s="134"/>
      <c r="ZZ82" s="134"/>
      <c r="AAA82" s="134"/>
      <c r="AAB82" s="134"/>
      <c r="AAC82" s="134"/>
      <c r="AAD82" s="134"/>
      <c r="AAE82" s="134"/>
      <c r="AAF82" s="134"/>
      <c r="AAG82" s="134"/>
      <c r="AAH82" s="134"/>
      <c r="AAI82" s="134"/>
      <c r="AAJ82" s="134"/>
      <c r="AAK82" s="134"/>
      <c r="AAL82" s="134"/>
      <c r="AAM82" s="134"/>
      <c r="AAN82" s="134"/>
      <c r="AAO82" s="134"/>
      <c r="AAP82" s="134"/>
      <c r="AAQ82" s="134"/>
      <c r="AAR82" s="134"/>
      <c r="AAS82" s="134"/>
      <c r="AAT82" s="134"/>
      <c r="AAU82" s="134"/>
      <c r="AAV82" s="134"/>
      <c r="AAW82" s="134"/>
      <c r="AAX82" s="134"/>
      <c r="AAY82" s="134"/>
      <c r="AAZ82" s="134"/>
      <c r="ABA82" s="134"/>
      <c r="ABB82" s="134"/>
      <c r="ABC82" s="134"/>
      <c r="ABD82" s="134"/>
      <c r="ABE82" s="134"/>
      <c r="ABF82" s="134"/>
      <c r="ABG82" s="134"/>
      <c r="ABH82" s="134"/>
      <c r="ABI82" s="134"/>
      <c r="ABJ82" s="134"/>
      <c r="ABK82" s="134"/>
      <c r="ABL82" s="134"/>
      <c r="ABM82" s="134"/>
      <c r="ABN82" s="134"/>
      <c r="ABO82" s="134"/>
      <c r="ABP82" s="134"/>
      <c r="ABQ82" s="134"/>
      <c r="ABR82" s="134"/>
      <c r="ABS82" s="134"/>
      <c r="ABT82" s="134"/>
      <c r="ABU82" s="134"/>
      <c r="ABV82" s="134"/>
      <c r="ABW82" s="134"/>
      <c r="ABX82" s="134"/>
    </row>
    <row r="83" spans="1:752" s="6" customFormat="1" ht="14.05" customHeight="1" x14ac:dyDescent="0.35">
      <c r="B83" s="6" t="s">
        <v>113</v>
      </c>
      <c r="E83" s="188">
        <f>IF(E34=0,-1,E81)</f>
        <v>-1</v>
      </c>
      <c r="F83" s="188">
        <f t="shared" ref="F83:U83" si="77">IF(F34=0,-1,F81)</f>
        <v>-1</v>
      </c>
      <c r="G83" s="188">
        <f t="shared" si="77"/>
        <v>-1</v>
      </c>
      <c r="H83" s="188">
        <f t="shared" si="77"/>
        <v>-1</v>
      </c>
      <c r="I83" s="188">
        <f t="shared" si="77"/>
        <v>-1</v>
      </c>
      <c r="J83" s="188">
        <f t="shared" si="77"/>
        <v>-1</v>
      </c>
      <c r="K83" s="188">
        <f t="shared" si="77"/>
        <v>-1</v>
      </c>
      <c r="L83" s="188">
        <f t="shared" si="77"/>
        <v>3.0994323806222654</v>
      </c>
      <c r="M83" s="188">
        <f t="shared" si="77"/>
        <v>3.5267529137285027</v>
      </c>
      <c r="N83" s="188">
        <f t="shared" si="77"/>
        <v>-1</v>
      </c>
      <c r="O83" s="188">
        <f t="shared" si="77"/>
        <v>-1</v>
      </c>
      <c r="P83" s="188">
        <f t="shared" si="77"/>
        <v>-1</v>
      </c>
      <c r="Q83" s="188">
        <f t="shared" si="77"/>
        <v>-1</v>
      </c>
      <c r="R83" s="188">
        <f t="shared" si="77"/>
        <v>-1</v>
      </c>
      <c r="S83" s="188">
        <f t="shared" si="77"/>
        <v>-1</v>
      </c>
      <c r="T83" s="188">
        <f t="shared" si="77"/>
        <v>-1</v>
      </c>
      <c r="U83" s="188">
        <f t="shared" si="77"/>
        <v>-1</v>
      </c>
    </row>
    <row r="84" spans="1:752" s="6" customFormat="1" ht="14.05" hidden="1" customHeight="1" x14ac:dyDescent="0.35"/>
    <row r="85" spans="1:752" s="6" customFormat="1" ht="12" hidden="1" customHeight="1" x14ac:dyDescent="0.35"/>
    <row r="86" spans="1:752" s="161" customFormat="1" ht="12" hidden="1" customHeight="1" x14ac:dyDescent="0.35"/>
    <row r="87" spans="1:752" s="161" customFormat="1" ht="12" hidden="1" customHeight="1" x14ac:dyDescent="0.35"/>
    <row r="88" spans="1:752" s="161" customFormat="1" ht="12" hidden="1" customHeight="1" x14ac:dyDescent="0.35"/>
    <row r="89" spans="1:752" s="161" customFormat="1" ht="12" hidden="1" customHeight="1" x14ac:dyDescent="0.35"/>
    <row r="90" spans="1:752" s="161" customFormat="1" ht="12" hidden="1" customHeight="1" x14ac:dyDescent="0.35"/>
    <row r="91" spans="1:752" s="161" customFormat="1" ht="12" hidden="1" customHeight="1" x14ac:dyDescent="0.35"/>
    <row r="92" spans="1:752" s="6" customFormat="1" ht="12" hidden="1" customHeight="1" x14ac:dyDescent="0.35"/>
    <row r="93" spans="1:752" s="6" customFormat="1" ht="12" hidden="1" customHeight="1" x14ac:dyDescent="0.35"/>
    <row r="94" spans="1:752" s="6" customFormat="1" ht="12" hidden="1" customHeight="1" x14ac:dyDescent="0.35"/>
    <row r="95" spans="1:752" s="6" customFormat="1" ht="12" hidden="1" customHeight="1" x14ac:dyDescent="0.35"/>
    <row r="96" spans="1:752" s="7" customFormat="1" ht="12" hidden="1" customHeight="1" x14ac:dyDescent="0.35"/>
    <row r="97" s="7" customFormat="1" ht="12" hidden="1" customHeight="1" x14ac:dyDescent="0.35"/>
    <row r="98" s="7" customFormat="1" ht="12" hidden="1" customHeight="1" x14ac:dyDescent="0.35"/>
    <row r="99" s="7" customFormat="1" ht="12" hidden="1" customHeight="1" x14ac:dyDescent="0.35"/>
    <row r="100" s="7" customFormat="1" ht="12" hidden="1" customHeight="1" x14ac:dyDescent="0.35"/>
    <row r="101" s="7" customFormat="1" ht="12" hidden="1" customHeight="1" x14ac:dyDescent="0.35"/>
    <row r="102" s="7" customFormat="1" ht="12" hidden="1" customHeight="1" x14ac:dyDescent="0.35"/>
    <row r="103" s="7" customFormat="1" ht="12" hidden="1" customHeight="1" x14ac:dyDescent="0.35"/>
    <row r="104" s="7" customFormat="1" ht="12" hidden="1" customHeight="1" x14ac:dyDescent="0.35"/>
    <row r="105" s="7" customFormat="1" ht="12" hidden="1" customHeight="1" x14ac:dyDescent="0.35"/>
    <row r="106" s="7" customFormat="1" ht="12" hidden="1" customHeight="1" x14ac:dyDescent="0.35"/>
    <row r="107" s="7" customFormat="1" ht="12" hidden="1" customHeight="1" x14ac:dyDescent="0.35"/>
    <row r="108" s="7" customFormat="1" ht="12" hidden="1" customHeight="1" x14ac:dyDescent="0.35"/>
    <row r="109" s="7" customFormat="1" ht="12" hidden="1" customHeight="1" x14ac:dyDescent="0.35"/>
    <row r="110" s="7" customFormat="1" ht="12" hidden="1" customHeight="1" x14ac:dyDescent="0.35"/>
    <row r="111" s="7" customFormat="1" ht="12" hidden="1" customHeight="1" x14ac:dyDescent="0.35"/>
    <row r="112" s="7" customFormat="1" ht="12" hidden="1" customHeight="1" x14ac:dyDescent="0.35"/>
    <row r="113" s="7" customFormat="1" ht="12" hidden="1" customHeight="1" x14ac:dyDescent="0.35"/>
    <row r="114" s="7" customFormat="1" ht="12" hidden="1" customHeight="1" x14ac:dyDescent="0.35"/>
    <row r="115" s="7" customFormat="1" ht="12" hidden="1" customHeight="1" x14ac:dyDescent="0.35"/>
    <row r="116" s="7" customFormat="1" ht="12" hidden="1" customHeight="1" x14ac:dyDescent="0.35"/>
    <row r="117" s="7" customFormat="1" ht="12" hidden="1" customHeight="1" x14ac:dyDescent="0.35"/>
    <row r="118" s="7" customFormat="1" ht="12" hidden="1" customHeight="1" x14ac:dyDescent="0.35"/>
    <row r="119" s="7" customFormat="1" ht="12" hidden="1" customHeight="1" x14ac:dyDescent="0.35"/>
    <row r="120" s="7" customFormat="1" ht="12" hidden="1" customHeight="1" x14ac:dyDescent="0.35"/>
    <row r="121" s="7" customFormat="1" ht="12" hidden="1" customHeight="1" x14ac:dyDescent="0.35"/>
    <row r="122" s="7" customFormat="1" ht="12" hidden="1" customHeight="1" x14ac:dyDescent="0.35"/>
    <row r="123" s="7" customFormat="1" ht="12" hidden="1" customHeight="1" x14ac:dyDescent="0.35"/>
    <row r="124" s="7" customFormat="1" ht="12" hidden="1" customHeight="1" x14ac:dyDescent="0.35"/>
    <row r="125" s="7" customFormat="1" ht="12" hidden="1" customHeight="1" x14ac:dyDescent="0.35"/>
    <row r="126" s="7" customFormat="1" ht="12" hidden="1" customHeight="1" x14ac:dyDescent="0.35"/>
    <row r="127" s="7" customFormat="1" ht="12" hidden="1" customHeight="1" x14ac:dyDescent="0.35"/>
    <row r="128" s="7" customFormat="1" ht="12" hidden="1" customHeight="1" x14ac:dyDescent="0.35"/>
    <row r="129" s="7" customFormat="1" ht="12" hidden="1" customHeight="1" x14ac:dyDescent="0.35"/>
    <row r="130" s="7" customFormat="1" ht="12" hidden="1" customHeight="1" x14ac:dyDescent="0.35"/>
    <row r="131" s="7" customFormat="1" ht="12" hidden="1" customHeight="1" x14ac:dyDescent="0.35"/>
    <row r="132" s="7" customFormat="1" ht="12" hidden="1" customHeight="1" x14ac:dyDescent="0.35"/>
    <row r="133" s="7" customFormat="1" ht="12" hidden="1" customHeight="1" x14ac:dyDescent="0.35"/>
    <row r="134" s="7" customFormat="1" ht="12" hidden="1" customHeight="1" x14ac:dyDescent="0.35"/>
    <row r="135" s="7" customFormat="1" ht="12" hidden="1" customHeight="1" x14ac:dyDescent="0.35"/>
    <row r="136" s="7" customFormat="1" ht="12" hidden="1" customHeight="1" x14ac:dyDescent="0.35"/>
    <row r="137" s="7" customFormat="1" ht="12" hidden="1" customHeight="1" x14ac:dyDescent="0.35"/>
    <row r="138" s="7" customFormat="1" ht="12" hidden="1" customHeight="1" x14ac:dyDescent="0.35"/>
    <row r="139" s="7" customFormat="1" ht="12" hidden="1" customHeight="1" x14ac:dyDescent="0.35"/>
    <row r="140" s="7" customFormat="1" ht="12" hidden="1" customHeight="1" x14ac:dyDescent="0.35"/>
    <row r="141" s="7" customFormat="1" ht="12" hidden="1" customHeight="1" x14ac:dyDescent="0.35"/>
    <row r="142" s="7" customFormat="1" ht="12" hidden="1" customHeight="1" x14ac:dyDescent="0.35"/>
    <row r="143" s="7" customFormat="1" ht="12" hidden="1" customHeight="1" x14ac:dyDescent="0.35"/>
    <row r="144" s="7" customFormat="1" ht="12" hidden="1" customHeight="1" x14ac:dyDescent="0.35"/>
    <row r="145" s="7" customFormat="1" ht="12" hidden="1" customHeight="1" x14ac:dyDescent="0.35"/>
    <row r="146" s="6" customFormat="1" ht="12" hidden="1" customHeight="1" x14ac:dyDescent="0.35"/>
    <row r="147" s="7" customFormat="1" ht="12" hidden="1" customHeight="1" x14ac:dyDescent="0.35"/>
    <row r="148" s="7" customFormat="1" ht="12" hidden="1" customHeight="1" x14ac:dyDescent="0.35"/>
    <row r="149" s="7" customFormat="1" ht="12" hidden="1" customHeight="1" x14ac:dyDescent="0.35"/>
    <row r="150" s="7" customFormat="1" ht="12" hidden="1" customHeight="1" x14ac:dyDescent="0.35"/>
    <row r="151" s="7" customFormat="1" ht="12" hidden="1" customHeight="1" x14ac:dyDescent="0.35"/>
    <row r="152" s="7" customFormat="1" ht="12" hidden="1" customHeight="1" x14ac:dyDescent="0.35"/>
    <row r="153" s="7" customFormat="1" ht="12" hidden="1" customHeight="1" x14ac:dyDescent="0.35"/>
    <row r="154" s="7" customFormat="1" ht="12" hidden="1" customHeight="1" x14ac:dyDescent="0.35"/>
    <row r="155" s="7" customFormat="1" ht="12" hidden="1" customHeight="1" x14ac:dyDescent="0.35"/>
    <row r="156" s="7" customFormat="1" ht="12" hidden="1" customHeight="1" x14ac:dyDescent="0.35"/>
    <row r="157" s="7" customFormat="1" ht="12" hidden="1" customHeight="1" x14ac:dyDescent="0.35"/>
    <row r="158" s="7" customFormat="1" ht="12" hidden="1" customHeight="1" x14ac:dyDescent="0.35"/>
    <row r="159" s="7" customFormat="1" ht="12" hidden="1" customHeight="1" x14ac:dyDescent="0.35"/>
    <row r="160" s="7" customFormat="1" ht="12" hidden="1" customHeight="1" x14ac:dyDescent="0.35"/>
    <row r="161" s="7" customFormat="1" ht="12" hidden="1" customHeight="1" x14ac:dyDescent="0.35"/>
    <row r="162" s="7" customFormat="1" ht="12" hidden="1" customHeight="1" x14ac:dyDescent="0.35"/>
    <row r="163" s="7" customFormat="1" ht="12" hidden="1" customHeight="1" x14ac:dyDescent="0.35"/>
    <row r="164" s="7" customFormat="1" ht="12" hidden="1" customHeight="1" x14ac:dyDescent="0.35"/>
    <row r="165" s="7" customFormat="1" ht="12" hidden="1" customHeight="1" x14ac:dyDescent="0.35"/>
    <row r="166" s="7" customFormat="1" ht="12" hidden="1" customHeight="1" x14ac:dyDescent="0.35"/>
    <row r="167" s="7" customFormat="1" ht="12" hidden="1" customHeight="1" x14ac:dyDescent="0.35"/>
    <row r="168" s="7" customFormat="1" ht="12" hidden="1" customHeight="1" x14ac:dyDescent="0.35"/>
    <row r="169" s="7" customFormat="1" ht="12" hidden="1" customHeight="1" x14ac:dyDescent="0.35"/>
    <row r="170" s="7" customFormat="1" ht="12" hidden="1" customHeight="1" x14ac:dyDescent="0.35"/>
    <row r="171" s="7" customFormat="1" ht="12" hidden="1" customHeight="1" x14ac:dyDescent="0.35"/>
    <row r="172" s="7" customFormat="1" ht="12" hidden="1" customHeight="1" x14ac:dyDescent="0.35"/>
    <row r="173" s="7" customFormat="1" ht="12" hidden="1" customHeight="1" x14ac:dyDescent="0.35"/>
    <row r="174" s="7" customFormat="1" ht="12" hidden="1" customHeight="1" x14ac:dyDescent="0.35"/>
    <row r="175" s="7" customFormat="1" ht="12" hidden="1" customHeight="1" x14ac:dyDescent="0.35"/>
    <row r="176" s="7" customFormat="1" ht="12" hidden="1" customHeight="1" x14ac:dyDescent="0.35"/>
    <row r="177" s="7" customFormat="1" ht="12" hidden="1" customHeight="1" x14ac:dyDescent="0.35"/>
    <row r="178" s="7" customFormat="1" ht="12" hidden="1" customHeight="1" x14ac:dyDescent="0.35"/>
    <row r="179" s="7" customFormat="1" ht="12" hidden="1" customHeight="1" x14ac:dyDescent="0.35"/>
    <row r="180" s="7" customFormat="1" ht="12" hidden="1" customHeight="1" x14ac:dyDescent="0.35"/>
    <row r="181" s="7" customFormat="1" ht="12" hidden="1" customHeight="1" x14ac:dyDescent="0.35"/>
    <row r="182" s="7" customFormat="1" ht="12" hidden="1" customHeight="1" x14ac:dyDescent="0.35"/>
    <row r="183" s="7" customFormat="1" ht="12" hidden="1" customHeight="1" x14ac:dyDescent="0.35"/>
    <row r="184" s="7" customFormat="1" ht="12" hidden="1" customHeight="1" x14ac:dyDescent="0.35"/>
    <row r="185" s="7" customFormat="1" ht="12" hidden="1" customHeight="1" x14ac:dyDescent="0.35"/>
    <row r="186" s="7" customFormat="1" ht="12" hidden="1" customHeight="1" x14ac:dyDescent="0.35"/>
    <row r="187" s="7" customFormat="1" ht="12" hidden="1" customHeight="1" x14ac:dyDescent="0.35"/>
    <row r="188" s="7" customFormat="1" ht="12" hidden="1" customHeight="1" x14ac:dyDescent="0.35"/>
    <row r="189" s="7" customFormat="1" ht="12" hidden="1" customHeight="1" x14ac:dyDescent="0.35"/>
    <row r="190" s="7" customFormat="1" ht="12" hidden="1" customHeight="1" x14ac:dyDescent="0.35"/>
    <row r="191" s="7" customFormat="1" ht="12" hidden="1" customHeight="1" x14ac:dyDescent="0.35"/>
    <row r="192" s="7" customFormat="1" ht="12" hidden="1" customHeight="1" x14ac:dyDescent="0.35"/>
    <row r="193" s="7" customFormat="1" ht="12" hidden="1" customHeight="1" x14ac:dyDescent="0.35"/>
    <row r="194" s="7" customFormat="1" ht="12" hidden="1" customHeight="1" x14ac:dyDescent="0.35"/>
    <row r="195" s="7" customFormat="1" ht="12" hidden="1" customHeight="1" x14ac:dyDescent="0.35"/>
    <row r="196" s="7" customFormat="1" ht="12" hidden="1" customHeight="1" x14ac:dyDescent="0.35"/>
    <row r="197" s="7" customFormat="1" ht="12" hidden="1" customHeight="1" x14ac:dyDescent="0.35"/>
    <row r="198" s="7" customFormat="1" ht="12" hidden="1" customHeight="1" x14ac:dyDescent="0.35"/>
    <row r="199" s="7" customFormat="1" ht="12" hidden="1" customHeight="1" x14ac:dyDescent="0.35"/>
    <row r="200" s="7" customFormat="1" ht="12" hidden="1" customHeight="1" x14ac:dyDescent="0.35"/>
    <row r="201" s="7" customFormat="1" ht="12" hidden="1" customHeight="1" x14ac:dyDescent="0.35"/>
    <row r="202" s="7" customFormat="1" ht="12" hidden="1" customHeight="1" x14ac:dyDescent="0.35"/>
    <row r="203" s="7" customFormat="1" ht="12" hidden="1" customHeight="1" x14ac:dyDescent="0.35"/>
    <row r="204" s="7" customFormat="1" ht="12" hidden="1" customHeight="1" x14ac:dyDescent="0.35"/>
    <row r="205" s="7" customFormat="1" ht="12" hidden="1" customHeight="1" x14ac:dyDescent="0.35"/>
    <row r="206" s="7" customFormat="1" ht="12" hidden="1" customHeight="1" x14ac:dyDescent="0.35"/>
    <row r="207" s="7" customFormat="1" ht="12" hidden="1" customHeight="1" x14ac:dyDescent="0.35"/>
    <row r="208" s="7" customFormat="1" ht="12" hidden="1" customHeight="1" x14ac:dyDescent="0.35"/>
    <row r="209" s="7" customFormat="1" ht="12" hidden="1" customHeight="1" x14ac:dyDescent="0.35"/>
    <row r="210" s="7" customFormat="1" ht="12" hidden="1" customHeight="1" x14ac:dyDescent="0.35"/>
    <row r="211" s="7" customFormat="1" ht="12" hidden="1" customHeight="1" x14ac:dyDescent="0.35"/>
    <row r="212" s="7" customFormat="1" ht="12" hidden="1" customHeight="1" x14ac:dyDescent="0.35"/>
    <row r="213" s="7" customFormat="1" ht="12" hidden="1" customHeight="1" x14ac:dyDescent="0.35"/>
    <row r="214" s="7" customFormat="1" ht="12" hidden="1" customHeight="1" x14ac:dyDescent="0.35"/>
    <row r="215" s="7" customFormat="1" ht="12" hidden="1" customHeight="1" x14ac:dyDescent="0.35"/>
    <row r="216" s="7" customFormat="1" ht="12" hidden="1" customHeight="1" x14ac:dyDescent="0.35"/>
    <row r="217" s="7" customFormat="1" ht="12" hidden="1" customHeight="1" x14ac:dyDescent="0.35"/>
    <row r="218" s="7" customFormat="1" ht="12" hidden="1" customHeight="1" x14ac:dyDescent="0.35"/>
    <row r="219" s="7" customFormat="1" ht="12" hidden="1" customHeight="1" x14ac:dyDescent="0.35"/>
    <row r="220" s="7" customFormat="1" ht="12" hidden="1" customHeight="1" x14ac:dyDescent="0.35"/>
    <row r="221" s="7" customFormat="1" ht="12" hidden="1" customHeight="1" x14ac:dyDescent="0.35"/>
    <row r="222" s="7" customFormat="1" ht="12" hidden="1" customHeight="1" x14ac:dyDescent="0.35"/>
    <row r="223" s="7" customFormat="1" ht="12" hidden="1" customHeight="1" x14ac:dyDescent="0.35"/>
    <row r="224" s="7" customFormat="1" ht="12" hidden="1" customHeight="1" x14ac:dyDescent="0.35"/>
    <row r="225" s="7" customFormat="1" ht="12" hidden="1" customHeight="1" x14ac:dyDescent="0.35"/>
    <row r="226" s="7" customFormat="1" ht="12" hidden="1" customHeight="1" x14ac:dyDescent="0.35"/>
    <row r="227" s="7" customFormat="1" ht="12" hidden="1" customHeight="1" x14ac:dyDescent="0.35"/>
    <row r="228" s="7" customFormat="1" ht="12" hidden="1" customHeight="1" x14ac:dyDescent="0.35"/>
    <row r="229" s="7" customFormat="1" ht="12" hidden="1" customHeight="1" x14ac:dyDescent="0.35"/>
    <row r="230" s="7" customFormat="1" ht="12" hidden="1" customHeight="1" x14ac:dyDescent="0.35"/>
    <row r="231" s="7" customFormat="1" ht="12" hidden="1" customHeight="1" x14ac:dyDescent="0.35"/>
    <row r="232" s="7" customFormat="1" ht="12" hidden="1" customHeight="1" x14ac:dyDescent="0.35"/>
    <row r="233" s="7" customFormat="1" ht="12" hidden="1" customHeight="1" x14ac:dyDescent="0.35"/>
    <row r="234" s="7" customFormat="1" ht="12" hidden="1" customHeight="1" x14ac:dyDescent="0.35"/>
    <row r="235" s="7" customFormat="1" ht="12" hidden="1" customHeight="1" x14ac:dyDescent="0.35"/>
    <row r="236" s="7" customFormat="1" ht="12" hidden="1" customHeight="1" x14ac:dyDescent="0.35"/>
    <row r="237" s="7" customFormat="1" ht="12" hidden="1" customHeight="1" x14ac:dyDescent="0.35"/>
    <row r="238" s="7" customFormat="1" ht="12" hidden="1" customHeight="1" x14ac:dyDescent="0.35"/>
    <row r="239" s="7" customFormat="1" ht="12" hidden="1" customHeight="1" x14ac:dyDescent="0.35"/>
    <row r="240" s="7" customFormat="1" ht="12" hidden="1" customHeight="1" x14ac:dyDescent="0.35"/>
    <row r="241" s="7" customFormat="1" ht="12" hidden="1" customHeight="1" x14ac:dyDescent="0.35"/>
    <row r="242" s="7" customFormat="1" ht="12" hidden="1" customHeight="1" x14ac:dyDescent="0.35"/>
    <row r="243" s="7" customFormat="1" ht="12" hidden="1" customHeight="1" x14ac:dyDescent="0.35"/>
    <row r="244" s="7" customFormat="1" ht="12" hidden="1" customHeight="1" x14ac:dyDescent="0.35"/>
    <row r="245" s="7" customFormat="1" ht="12" hidden="1" customHeight="1" x14ac:dyDescent="0.35"/>
    <row r="246" s="7" customFormat="1" ht="12" hidden="1" customHeight="1" x14ac:dyDescent="0.35"/>
    <row r="247" s="7" customFormat="1" ht="12" hidden="1" customHeight="1" x14ac:dyDescent="0.35"/>
    <row r="248" s="7" customFormat="1" ht="12" hidden="1" customHeight="1" x14ac:dyDescent="0.35"/>
    <row r="249" s="7" customFormat="1" ht="12" hidden="1" customHeight="1" x14ac:dyDescent="0.35"/>
    <row r="250" s="7" customFormat="1" ht="12" hidden="1" customHeight="1" x14ac:dyDescent="0.35"/>
    <row r="251" s="7" customFormat="1" ht="12" hidden="1" customHeight="1" x14ac:dyDescent="0.35"/>
    <row r="252" s="7" customFormat="1" ht="12" hidden="1" customHeight="1" x14ac:dyDescent="0.35"/>
    <row r="253" s="7" customFormat="1" ht="12" hidden="1" customHeight="1" x14ac:dyDescent="0.35"/>
    <row r="254" s="7" customFormat="1" ht="12" hidden="1" customHeight="1" x14ac:dyDescent="0.35"/>
    <row r="255" s="7" customFormat="1" ht="12" hidden="1" customHeight="1" x14ac:dyDescent="0.35"/>
    <row r="256" s="7" customFormat="1" ht="12" hidden="1" customHeight="1" x14ac:dyDescent="0.35"/>
    <row r="257" s="7" customFormat="1" ht="12" hidden="1" customHeight="1" x14ac:dyDescent="0.35"/>
    <row r="258" s="7" customFormat="1" ht="12" hidden="1" customHeight="1" x14ac:dyDescent="0.35"/>
    <row r="259" s="7" customFormat="1" ht="12" hidden="1" customHeight="1" x14ac:dyDescent="0.35"/>
    <row r="260" s="7" customFormat="1" ht="12" hidden="1" customHeight="1" x14ac:dyDescent="0.35"/>
    <row r="261" s="7" customFormat="1" ht="12" hidden="1" customHeight="1" x14ac:dyDescent="0.35"/>
    <row r="262" s="7" customFormat="1" ht="12" hidden="1" customHeight="1" x14ac:dyDescent="0.35"/>
    <row r="263" s="7" customFormat="1" ht="12" hidden="1" customHeight="1" x14ac:dyDescent="0.35"/>
    <row r="264" s="7" customFormat="1" ht="12" hidden="1" customHeight="1" x14ac:dyDescent="0.35"/>
    <row r="265" s="7" customFormat="1" ht="12" hidden="1" customHeight="1" x14ac:dyDescent="0.35"/>
    <row r="266" s="7" customFormat="1" ht="12" hidden="1" customHeight="1" x14ac:dyDescent="0.35"/>
    <row r="267" s="7" customFormat="1" ht="12" hidden="1" customHeight="1" x14ac:dyDescent="0.35"/>
    <row r="268" s="7" customFormat="1" ht="12" hidden="1" customHeight="1" x14ac:dyDescent="0.35"/>
    <row r="269" s="7" customFormat="1" ht="12" hidden="1" customHeight="1" x14ac:dyDescent="0.35"/>
    <row r="270" s="7" customFormat="1" ht="12" hidden="1" customHeight="1" x14ac:dyDescent="0.35"/>
    <row r="271" s="7" customFormat="1" ht="12" hidden="1" customHeight="1" x14ac:dyDescent="0.35"/>
    <row r="272" s="7" customFormat="1" ht="12" hidden="1" customHeight="1" x14ac:dyDescent="0.35"/>
    <row r="273" s="7" customFormat="1" ht="12" hidden="1" customHeight="1" x14ac:dyDescent="0.35"/>
    <row r="274" s="7" customFormat="1" ht="12" hidden="1" customHeight="1" x14ac:dyDescent="0.35"/>
    <row r="275" s="7" customFormat="1" ht="12" hidden="1" customHeight="1" x14ac:dyDescent="0.35"/>
    <row r="276" s="7" customFormat="1" ht="12" hidden="1" customHeight="1" x14ac:dyDescent="0.35"/>
    <row r="277" s="7" customFormat="1" ht="12" hidden="1" customHeight="1" x14ac:dyDescent="0.35"/>
    <row r="278" s="7" customFormat="1" ht="12" hidden="1" customHeight="1" x14ac:dyDescent="0.35"/>
    <row r="279" s="7" customFormat="1" ht="12" hidden="1" customHeight="1" x14ac:dyDescent="0.35"/>
    <row r="280" s="7" customFormat="1" ht="12" hidden="1" customHeight="1" x14ac:dyDescent="0.35"/>
    <row r="281" s="7" customFormat="1" ht="12" hidden="1" customHeight="1" x14ac:dyDescent="0.35"/>
    <row r="282" s="7" customFormat="1" ht="12" hidden="1" customHeight="1" x14ac:dyDescent="0.35"/>
    <row r="283" s="7" customFormat="1" ht="12" hidden="1" customHeight="1" x14ac:dyDescent="0.35"/>
    <row r="284" s="7" customFormat="1" ht="12" hidden="1" customHeight="1" x14ac:dyDescent="0.35"/>
    <row r="285" s="7" customFormat="1" ht="12" hidden="1" customHeight="1" x14ac:dyDescent="0.35"/>
    <row r="286" s="7" customFormat="1" ht="12" hidden="1" customHeight="1" x14ac:dyDescent="0.35"/>
    <row r="287" s="7" customFormat="1" ht="12" hidden="1" customHeight="1" x14ac:dyDescent="0.35"/>
    <row r="288" s="7" customFormat="1" ht="12" hidden="1" customHeight="1" x14ac:dyDescent="0.35"/>
    <row r="289" s="7" customFormat="1" ht="12" hidden="1" customHeight="1" x14ac:dyDescent="0.35"/>
    <row r="290" s="7" customFormat="1" ht="12" hidden="1" customHeight="1" x14ac:dyDescent="0.35"/>
    <row r="291" s="7" customFormat="1" ht="12" hidden="1" customHeight="1" x14ac:dyDescent="0.35"/>
    <row r="292" s="7" customFormat="1" ht="12" hidden="1" customHeight="1" x14ac:dyDescent="0.35"/>
    <row r="293" s="7" customFormat="1" ht="12" hidden="1" customHeight="1" x14ac:dyDescent="0.35"/>
    <row r="294" s="7" customFormat="1" ht="12" hidden="1" customHeight="1" x14ac:dyDescent="0.35"/>
    <row r="295" s="7" customFormat="1" ht="12" hidden="1" customHeight="1" x14ac:dyDescent="0.35"/>
    <row r="296" s="7" customFormat="1" ht="12" hidden="1" customHeight="1" x14ac:dyDescent="0.35"/>
    <row r="297" s="7" customFormat="1" ht="12" hidden="1" customHeight="1" x14ac:dyDescent="0.35"/>
    <row r="298" s="7" customFormat="1" ht="12" hidden="1" customHeight="1" x14ac:dyDescent="0.35"/>
    <row r="299" s="7" customFormat="1" ht="12" hidden="1" customHeight="1" x14ac:dyDescent="0.35"/>
    <row r="300" s="7" customFormat="1" ht="12" hidden="1" customHeight="1" x14ac:dyDescent="0.35"/>
    <row r="301" s="7" customFormat="1" ht="12" hidden="1" customHeight="1" x14ac:dyDescent="0.35"/>
    <row r="302" s="7" customFormat="1" ht="12" hidden="1" customHeight="1" x14ac:dyDescent="0.35"/>
    <row r="303" s="7" customFormat="1" ht="12" hidden="1" customHeight="1" x14ac:dyDescent="0.35"/>
    <row r="304" s="7" customFormat="1" ht="12" hidden="1" customHeight="1" x14ac:dyDescent="0.35"/>
    <row r="305" s="7" customFormat="1" ht="12" hidden="1" customHeight="1" x14ac:dyDescent="0.35"/>
    <row r="306" s="7" customFormat="1" ht="12" hidden="1" customHeight="1" x14ac:dyDescent="0.35"/>
    <row r="307" s="7" customFormat="1" ht="12" hidden="1" customHeight="1" x14ac:dyDescent="0.35"/>
    <row r="308" s="7" customFormat="1" ht="12" hidden="1" customHeight="1" x14ac:dyDescent="0.35"/>
    <row r="309" s="7" customFormat="1" ht="12" hidden="1" customHeight="1" x14ac:dyDescent="0.35"/>
    <row r="310" s="7" customFormat="1" ht="12" hidden="1" customHeight="1" x14ac:dyDescent="0.35"/>
    <row r="311" s="7" customFormat="1" ht="12" hidden="1" customHeight="1" x14ac:dyDescent="0.35"/>
    <row r="312" s="7" customFormat="1" ht="12" hidden="1" customHeight="1" x14ac:dyDescent="0.35"/>
    <row r="313" s="7" customFormat="1" ht="12" hidden="1" customHeight="1" x14ac:dyDescent="0.35"/>
    <row r="314" s="7" customFormat="1" ht="12" hidden="1" customHeight="1" x14ac:dyDescent="0.35"/>
    <row r="315" s="7" customFormat="1" ht="12" hidden="1" customHeight="1" x14ac:dyDescent="0.35"/>
    <row r="316" s="7" customFormat="1" ht="12" hidden="1" customHeight="1" x14ac:dyDescent="0.35"/>
    <row r="317" s="7" customFormat="1" ht="12" hidden="1" customHeight="1" x14ac:dyDescent="0.35"/>
    <row r="318" s="7" customFormat="1" ht="12" hidden="1" customHeight="1" x14ac:dyDescent="0.35"/>
    <row r="319" s="7" customFormat="1" ht="12" hidden="1" customHeight="1" x14ac:dyDescent="0.35"/>
    <row r="320" s="7" customFormat="1" ht="12" hidden="1" customHeight="1" x14ac:dyDescent="0.35"/>
    <row r="321" s="7" customFormat="1" ht="12" hidden="1" customHeight="1" x14ac:dyDescent="0.35"/>
    <row r="322" s="7" customFormat="1" ht="12" hidden="1" customHeight="1" x14ac:dyDescent="0.35"/>
    <row r="323" s="7" customFormat="1" ht="12" hidden="1" customHeight="1" x14ac:dyDescent="0.35"/>
    <row r="324" s="7" customFormat="1" ht="12" hidden="1" customHeight="1" x14ac:dyDescent="0.35"/>
    <row r="325" s="7" customFormat="1" ht="12" hidden="1" customHeight="1" x14ac:dyDescent="0.35"/>
    <row r="326" s="7" customFormat="1" ht="12" hidden="1" customHeight="1" x14ac:dyDescent="0.35"/>
    <row r="327" s="7" customFormat="1" ht="12" hidden="1" customHeight="1" x14ac:dyDescent="0.35"/>
    <row r="328" s="7" customFormat="1" ht="12" hidden="1" customHeight="1" x14ac:dyDescent="0.35"/>
    <row r="329" s="7" customFormat="1" ht="12" hidden="1" customHeight="1" x14ac:dyDescent="0.35"/>
    <row r="330" s="7" customFormat="1" ht="12" hidden="1" customHeight="1" x14ac:dyDescent="0.35"/>
    <row r="331" s="7" customFormat="1" ht="12" hidden="1" customHeight="1" x14ac:dyDescent="0.35"/>
    <row r="332" s="7" customFormat="1" ht="12" hidden="1" customHeight="1" x14ac:dyDescent="0.35"/>
    <row r="333" s="7" customFormat="1" ht="12" hidden="1" customHeight="1" x14ac:dyDescent="0.35"/>
    <row r="334" s="7" customFormat="1" ht="12" hidden="1" customHeight="1" x14ac:dyDescent="0.35"/>
    <row r="335" s="7" customFormat="1" ht="12" hidden="1" customHeight="1" x14ac:dyDescent="0.35"/>
    <row r="336" s="7" customFormat="1" ht="12" hidden="1" customHeight="1" x14ac:dyDescent="0.35"/>
    <row r="337" s="7" customFormat="1" ht="12" hidden="1" customHeight="1" x14ac:dyDescent="0.35"/>
    <row r="338" s="7" customFormat="1" ht="12" hidden="1" customHeight="1" x14ac:dyDescent="0.35"/>
    <row r="339" s="7" customFormat="1" ht="12" hidden="1" customHeight="1" x14ac:dyDescent="0.35"/>
    <row r="340" s="7" customFormat="1" ht="12" hidden="1" customHeight="1" x14ac:dyDescent="0.35"/>
    <row r="341" s="7" customFormat="1" ht="12" hidden="1" customHeight="1" x14ac:dyDescent="0.35"/>
    <row r="342" s="7" customFormat="1" ht="12" hidden="1" customHeight="1" x14ac:dyDescent="0.35"/>
    <row r="343" s="7" customFormat="1" ht="12" hidden="1" customHeight="1" x14ac:dyDescent="0.35"/>
    <row r="344" s="7" customFormat="1" ht="12" hidden="1" customHeight="1" x14ac:dyDescent="0.35"/>
    <row r="345" s="7" customFormat="1" ht="12" hidden="1" customHeight="1" x14ac:dyDescent="0.35"/>
    <row r="346" s="7" customFormat="1" ht="12" hidden="1" customHeight="1" x14ac:dyDescent="0.35"/>
    <row r="347" s="7" customFormat="1" ht="12" hidden="1" customHeight="1" x14ac:dyDescent="0.35"/>
    <row r="348" s="7" customFormat="1" ht="12" hidden="1" customHeight="1" x14ac:dyDescent="0.35"/>
    <row r="349" s="7" customFormat="1" ht="12" hidden="1" customHeight="1" x14ac:dyDescent="0.35"/>
    <row r="350" s="7" customFormat="1" ht="12" hidden="1" customHeight="1" x14ac:dyDescent="0.35"/>
    <row r="351" s="7" customFormat="1" ht="12" hidden="1" customHeight="1" x14ac:dyDescent="0.35"/>
    <row r="352" s="7" customFormat="1" ht="12" hidden="1" customHeight="1" x14ac:dyDescent="0.35"/>
    <row r="353" s="7" customFormat="1" ht="12" hidden="1" customHeight="1" x14ac:dyDescent="0.35"/>
    <row r="354" s="7" customFormat="1" ht="12" hidden="1" customHeight="1" x14ac:dyDescent="0.35"/>
    <row r="355" s="7" customFormat="1" ht="12" hidden="1" customHeight="1" x14ac:dyDescent="0.35"/>
    <row r="356" s="7" customFormat="1" ht="12" hidden="1" customHeight="1" x14ac:dyDescent="0.35"/>
    <row r="357" s="7" customFormat="1" ht="12" hidden="1" customHeight="1" x14ac:dyDescent="0.35"/>
    <row r="358" s="7" customFormat="1" ht="12" hidden="1" customHeight="1" x14ac:dyDescent="0.35"/>
    <row r="359" s="7" customFormat="1" ht="12" hidden="1" customHeight="1" x14ac:dyDescent="0.35"/>
    <row r="360" s="7" customFormat="1" ht="12" hidden="1" customHeight="1" x14ac:dyDescent="0.35"/>
    <row r="361" s="7" customFormat="1" ht="12" hidden="1" customHeight="1" x14ac:dyDescent="0.35"/>
    <row r="362" s="7" customFormat="1" ht="12" hidden="1" customHeight="1" x14ac:dyDescent="0.35"/>
    <row r="363" s="7" customFormat="1" ht="12" hidden="1" customHeight="1" x14ac:dyDescent="0.35"/>
    <row r="364" s="7" customFormat="1" ht="12" hidden="1" customHeight="1" x14ac:dyDescent="0.35"/>
    <row r="365" s="7" customFormat="1" ht="12" hidden="1" customHeight="1" x14ac:dyDescent="0.35"/>
    <row r="366" s="7" customFormat="1" ht="12" hidden="1" customHeight="1" x14ac:dyDescent="0.35"/>
    <row r="367" s="7" customFormat="1" ht="12" hidden="1" customHeight="1" x14ac:dyDescent="0.35"/>
    <row r="368" s="7" customFormat="1" ht="12" hidden="1" customHeight="1" x14ac:dyDescent="0.35"/>
    <row r="369" s="7" customFormat="1" ht="12" hidden="1" customHeight="1" x14ac:dyDescent="0.35"/>
    <row r="370" s="7" customFormat="1" ht="12" hidden="1" customHeight="1" x14ac:dyDescent="0.35"/>
    <row r="371" s="7" customFormat="1" ht="12" hidden="1" customHeight="1" x14ac:dyDescent="0.35"/>
    <row r="372" s="7" customFormat="1" ht="12" hidden="1" customHeight="1" x14ac:dyDescent="0.35"/>
    <row r="373" s="7" customFormat="1" ht="12" hidden="1" customHeight="1" x14ac:dyDescent="0.35"/>
    <row r="374" s="7" customFormat="1" ht="12" hidden="1" customHeight="1" x14ac:dyDescent="0.35"/>
    <row r="375" s="7" customFormat="1" ht="12" hidden="1" customHeight="1" x14ac:dyDescent="0.35"/>
    <row r="376" s="7" customFormat="1" ht="12" hidden="1" customHeight="1" x14ac:dyDescent="0.35"/>
    <row r="377" s="7" customFormat="1" ht="12" hidden="1" customHeight="1" x14ac:dyDescent="0.35"/>
    <row r="378" s="7" customFormat="1" ht="12" hidden="1" customHeight="1" x14ac:dyDescent="0.35"/>
    <row r="379" s="7" customFormat="1" ht="12" hidden="1" customHeight="1" x14ac:dyDescent="0.35"/>
    <row r="380" s="7" customFormat="1" ht="12" hidden="1" customHeight="1" x14ac:dyDescent="0.35"/>
    <row r="381" s="7" customFormat="1" ht="12" hidden="1" customHeight="1" x14ac:dyDescent="0.35"/>
    <row r="382" s="7" customFormat="1" ht="12" hidden="1" customHeight="1" x14ac:dyDescent="0.35"/>
    <row r="383" s="7" customFormat="1" ht="12" hidden="1" customHeight="1" x14ac:dyDescent="0.35"/>
    <row r="384" s="7" customFormat="1" ht="12" hidden="1" customHeight="1" x14ac:dyDescent="0.35"/>
    <row r="385" s="7" customFormat="1" ht="12" hidden="1" customHeight="1" x14ac:dyDescent="0.35"/>
    <row r="386" s="7" customFormat="1" ht="12" hidden="1" customHeight="1" x14ac:dyDescent="0.35"/>
    <row r="387" s="7" customFormat="1" ht="12" hidden="1" customHeight="1" x14ac:dyDescent="0.35"/>
    <row r="388" s="7" customFormat="1" ht="12" hidden="1" customHeight="1" x14ac:dyDescent="0.35"/>
    <row r="389" s="7" customFormat="1" ht="12" hidden="1" customHeight="1" x14ac:dyDescent="0.35"/>
    <row r="390" s="7" customFormat="1" ht="12" hidden="1" customHeight="1" x14ac:dyDescent="0.35"/>
    <row r="391" s="7" customFormat="1" ht="12" hidden="1" customHeight="1" x14ac:dyDescent="0.35"/>
    <row r="392" s="7" customFormat="1" ht="12" hidden="1" customHeight="1" x14ac:dyDescent="0.35"/>
    <row r="393" s="7" customFormat="1" ht="12" hidden="1" customHeight="1" x14ac:dyDescent="0.35"/>
    <row r="394" s="7" customFormat="1" ht="12" hidden="1" customHeight="1" x14ac:dyDescent="0.35"/>
    <row r="395" s="7" customFormat="1" ht="12" hidden="1" customHeight="1" x14ac:dyDescent="0.35"/>
    <row r="396" s="7" customFormat="1" ht="12" hidden="1" customHeight="1" x14ac:dyDescent="0.35"/>
    <row r="397" s="7" customFormat="1" ht="12" hidden="1" customHeight="1" x14ac:dyDescent="0.35"/>
    <row r="398" s="7" customFormat="1" ht="12" hidden="1" customHeight="1" x14ac:dyDescent="0.35"/>
    <row r="399" s="7" customFormat="1" ht="12" hidden="1" customHeight="1" x14ac:dyDescent="0.35"/>
    <row r="400" s="7" customFormat="1" ht="12" hidden="1" customHeight="1" x14ac:dyDescent="0.35"/>
    <row r="401" s="7" customFormat="1" ht="12" hidden="1" customHeight="1" x14ac:dyDescent="0.35"/>
    <row r="402" s="7" customFormat="1" ht="12" hidden="1" customHeight="1" x14ac:dyDescent="0.35"/>
    <row r="403" s="7" customFormat="1" ht="12" hidden="1" customHeight="1" x14ac:dyDescent="0.35"/>
    <row r="404" s="7" customFormat="1" ht="12" hidden="1" customHeight="1" x14ac:dyDescent="0.35"/>
    <row r="405" s="7" customFormat="1" ht="12" hidden="1" customHeight="1" x14ac:dyDescent="0.35"/>
    <row r="406" s="7" customFormat="1" ht="12" hidden="1" customHeight="1" x14ac:dyDescent="0.35"/>
    <row r="407" s="7" customFormat="1" ht="12" hidden="1" customHeight="1" x14ac:dyDescent="0.35"/>
    <row r="408" s="7" customFormat="1" ht="12" hidden="1" customHeight="1" x14ac:dyDescent="0.35"/>
    <row r="409" s="7" customFormat="1" ht="12" hidden="1" customHeight="1" x14ac:dyDescent="0.35"/>
    <row r="410" s="7" customFormat="1" ht="12" hidden="1" customHeight="1" x14ac:dyDescent="0.35"/>
    <row r="411" s="7" customFormat="1" ht="12" hidden="1" customHeight="1" x14ac:dyDescent="0.35"/>
    <row r="412" s="7" customFormat="1" ht="12" hidden="1" customHeight="1" x14ac:dyDescent="0.35"/>
    <row r="413" s="7" customFormat="1" ht="12" hidden="1" customHeight="1" x14ac:dyDescent="0.35"/>
    <row r="414" s="7" customFormat="1" ht="12" hidden="1" customHeight="1" x14ac:dyDescent="0.35"/>
    <row r="415" s="7" customFormat="1" ht="12" hidden="1" customHeight="1" x14ac:dyDescent="0.35"/>
    <row r="416" s="7" customFormat="1" ht="12" hidden="1" customHeight="1" x14ac:dyDescent="0.35"/>
    <row r="417" s="7" customFormat="1" ht="12" hidden="1" customHeight="1" x14ac:dyDescent="0.35"/>
    <row r="418" s="7" customFormat="1" ht="12" hidden="1" customHeight="1" x14ac:dyDescent="0.35"/>
    <row r="419" s="7" customFormat="1" ht="12" hidden="1" customHeight="1" x14ac:dyDescent="0.35"/>
    <row r="420" s="7" customFormat="1" ht="12" hidden="1" customHeight="1" x14ac:dyDescent="0.35"/>
    <row r="421" s="7" customFormat="1" ht="12" hidden="1" customHeight="1" x14ac:dyDescent="0.35"/>
    <row r="422" s="7" customFormat="1" ht="12" hidden="1" customHeight="1" x14ac:dyDescent="0.35"/>
    <row r="423" s="7" customFormat="1" ht="12" hidden="1" customHeight="1" x14ac:dyDescent="0.35"/>
    <row r="424" s="7" customFormat="1" ht="12" hidden="1" customHeight="1" x14ac:dyDescent="0.35"/>
    <row r="425" s="7" customFormat="1" ht="12" hidden="1" customHeight="1" x14ac:dyDescent="0.35"/>
    <row r="426" s="7" customFormat="1" ht="12" hidden="1" customHeight="1" x14ac:dyDescent="0.35"/>
    <row r="427" s="7" customFormat="1" ht="12" hidden="1" customHeight="1" x14ac:dyDescent="0.35"/>
    <row r="428" s="7" customFormat="1" ht="12" hidden="1" customHeight="1" x14ac:dyDescent="0.35"/>
    <row r="429" s="7" customFormat="1" ht="12" hidden="1" customHeight="1" x14ac:dyDescent="0.35"/>
    <row r="430" s="7" customFormat="1" ht="12" hidden="1" customHeight="1" x14ac:dyDescent="0.35"/>
    <row r="431" s="7" customFormat="1" ht="12" hidden="1" customHeight="1" x14ac:dyDescent="0.35"/>
    <row r="432" s="7" customFormat="1" ht="12" hidden="1" customHeight="1" x14ac:dyDescent="0.35"/>
    <row r="433" s="7" customFormat="1" ht="12" hidden="1" customHeight="1" x14ac:dyDescent="0.35"/>
    <row r="434" s="7" customFormat="1" ht="12" hidden="1" customHeight="1" x14ac:dyDescent="0.35"/>
    <row r="435" s="7" customFormat="1" ht="12" hidden="1" customHeight="1" x14ac:dyDescent="0.35"/>
    <row r="436" s="7" customFormat="1" ht="12" hidden="1" customHeight="1" x14ac:dyDescent="0.35"/>
    <row r="437" s="7" customFormat="1" ht="12" hidden="1" customHeight="1" x14ac:dyDescent="0.35"/>
    <row r="438" s="7" customFormat="1" ht="12" hidden="1" customHeight="1" x14ac:dyDescent="0.35"/>
    <row r="439" s="7" customFormat="1" ht="12" hidden="1" customHeight="1" x14ac:dyDescent="0.35"/>
    <row r="440" s="7" customFormat="1" ht="12" hidden="1" customHeight="1" x14ac:dyDescent="0.35"/>
    <row r="441" s="7" customFormat="1" ht="12" hidden="1" customHeight="1" x14ac:dyDescent="0.35"/>
    <row r="442" s="7" customFormat="1" ht="12" hidden="1" customHeight="1" x14ac:dyDescent="0.35"/>
    <row r="443" s="7" customFormat="1" ht="12" hidden="1" customHeight="1" x14ac:dyDescent="0.35"/>
    <row r="444" s="7" customFormat="1" ht="12" hidden="1" customHeight="1" x14ac:dyDescent="0.35"/>
    <row r="445" s="7" customFormat="1" ht="12" hidden="1" customHeight="1" x14ac:dyDescent="0.35"/>
    <row r="446" s="7" customFormat="1" ht="12" hidden="1" customHeight="1" x14ac:dyDescent="0.35"/>
    <row r="447" s="7" customFormat="1" ht="12" hidden="1" customHeight="1" x14ac:dyDescent="0.35"/>
    <row r="448" s="7" customFormat="1" ht="12" hidden="1" customHeight="1" x14ac:dyDescent="0.35"/>
    <row r="449" s="7" customFormat="1" ht="12" hidden="1" customHeight="1" x14ac:dyDescent="0.35"/>
    <row r="450" s="7" customFormat="1" ht="12" hidden="1" customHeight="1" x14ac:dyDescent="0.35"/>
    <row r="451" s="7" customFormat="1" ht="12" hidden="1" customHeight="1" x14ac:dyDescent="0.35"/>
    <row r="452" s="7" customFormat="1" ht="12" hidden="1" customHeight="1" x14ac:dyDescent="0.35"/>
    <row r="453" s="7" customFormat="1" ht="12" hidden="1" customHeight="1" x14ac:dyDescent="0.35"/>
    <row r="454" s="7" customFormat="1" ht="12" hidden="1" customHeight="1" x14ac:dyDescent="0.35"/>
    <row r="455" s="7" customFormat="1" ht="12" hidden="1" customHeight="1" x14ac:dyDescent="0.35"/>
    <row r="456" s="7" customFormat="1" ht="12" hidden="1" customHeight="1" x14ac:dyDescent="0.35"/>
    <row r="457" s="7" customFormat="1" ht="12" hidden="1" customHeight="1" x14ac:dyDescent="0.35"/>
    <row r="458" s="7" customFormat="1" ht="12" hidden="1" customHeight="1" x14ac:dyDescent="0.35"/>
    <row r="459" s="7" customFormat="1" ht="12" hidden="1" customHeight="1" x14ac:dyDescent="0.35"/>
    <row r="460" s="7" customFormat="1" ht="12" hidden="1" customHeight="1" x14ac:dyDescent="0.35"/>
    <row r="461" s="7" customFormat="1" ht="12" hidden="1" customHeight="1" x14ac:dyDescent="0.35"/>
    <row r="462" s="7" customFormat="1" ht="12" hidden="1" customHeight="1" x14ac:dyDescent="0.35"/>
    <row r="463" s="7" customFormat="1" ht="12" hidden="1" customHeight="1" x14ac:dyDescent="0.35"/>
    <row r="464" s="7" customFormat="1" ht="12" hidden="1" customHeight="1" x14ac:dyDescent="0.35"/>
    <row r="465" s="7" customFormat="1" ht="12" hidden="1" customHeight="1" x14ac:dyDescent="0.35"/>
    <row r="466" s="7" customFormat="1" ht="12" hidden="1" customHeight="1" x14ac:dyDescent="0.35"/>
    <row r="467" s="7" customFormat="1" ht="12" hidden="1" customHeight="1" x14ac:dyDescent="0.35"/>
    <row r="468" s="7" customFormat="1" ht="12" hidden="1" customHeight="1" x14ac:dyDescent="0.35"/>
    <row r="469" s="7" customFormat="1" ht="12" hidden="1" customHeight="1" x14ac:dyDescent="0.35"/>
    <row r="470" s="7" customFormat="1" ht="12" hidden="1" customHeight="1" x14ac:dyDescent="0.35"/>
    <row r="471" s="7" customFormat="1" ht="12" hidden="1" customHeight="1" x14ac:dyDescent="0.35"/>
    <row r="472" s="7" customFormat="1" ht="12" hidden="1" customHeight="1" x14ac:dyDescent="0.35"/>
    <row r="473" s="7" customFormat="1" ht="12" hidden="1" customHeight="1" x14ac:dyDescent="0.35"/>
    <row r="474" s="7" customFormat="1" ht="12" hidden="1" customHeight="1" x14ac:dyDescent="0.35"/>
    <row r="475" s="7" customFormat="1" ht="12" hidden="1" customHeight="1" x14ac:dyDescent="0.35"/>
    <row r="476" s="7" customFormat="1" ht="12" hidden="1" customHeight="1" x14ac:dyDescent="0.35"/>
    <row r="477" s="7" customFormat="1" ht="12" hidden="1" customHeight="1" x14ac:dyDescent="0.35"/>
    <row r="478" s="7" customFormat="1" ht="12" hidden="1" customHeight="1" x14ac:dyDescent="0.35"/>
    <row r="479" s="7" customFormat="1" ht="12" hidden="1" customHeight="1" x14ac:dyDescent="0.35"/>
    <row r="480" s="7" customFormat="1" ht="12" hidden="1" customHeight="1" x14ac:dyDescent="0.35"/>
    <row r="481" s="7" customFormat="1" ht="12" hidden="1" customHeight="1" x14ac:dyDescent="0.35"/>
    <row r="482" s="7" customFormat="1" ht="12" hidden="1" customHeight="1" x14ac:dyDescent="0.35"/>
    <row r="483" s="7" customFormat="1" ht="12" hidden="1" customHeight="1" x14ac:dyDescent="0.35"/>
    <row r="484" s="7" customFormat="1" ht="12" hidden="1" customHeight="1" x14ac:dyDescent="0.35"/>
    <row r="485" s="7" customFormat="1" ht="12" hidden="1" customHeight="1" x14ac:dyDescent="0.35"/>
    <row r="486" s="7" customFormat="1" ht="12" hidden="1" customHeight="1" x14ac:dyDescent="0.35"/>
    <row r="487" s="7" customFormat="1" ht="12" hidden="1" customHeight="1" x14ac:dyDescent="0.35"/>
    <row r="488" s="7" customFormat="1" ht="12" hidden="1" customHeight="1" x14ac:dyDescent="0.35"/>
    <row r="489" s="7" customFormat="1" ht="12" hidden="1" customHeight="1" x14ac:dyDescent="0.35"/>
    <row r="490" s="7" customFormat="1" ht="12" hidden="1" customHeight="1" x14ac:dyDescent="0.35"/>
    <row r="491" s="7" customFormat="1" ht="12" hidden="1" customHeight="1" x14ac:dyDescent="0.35"/>
    <row r="492" s="7" customFormat="1" ht="12" hidden="1" customHeight="1" x14ac:dyDescent="0.35"/>
    <row r="493" s="7" customFormat="1" ht="12" hidden="1" customHeight="1" x14ac:dyDescent="0.35"/>
    <row r="494" s="7" customFormat="1" ht="12" hidden="1" customHeight="1" x14ac:dyDescent="0.35"/>
    <row r="495" s="7" customFormat="1" ht="12" hidden="1" customHeight="1" x14ac:dyDescent="0.35"/>
    <row r="496" s="7" customFormat="1" ht="12" hidden="1" customHeight="1" x14ac:dyDescent="0.35"/>
    <row r="497" s="7" customFormat="1" ht="12" hidden="1" customHeight="1" x14ac:dyDescent="0.35"/>
    <row r="498" s="7" customFormat="1" ht="12" hidden="1" customHeight="1" x14ac:dyDescent="0.35"/>
    <row r="499" s="7" customFormat="1" ht="12" hidden="1" customHeight="1" x14ac:dyDescent="0.35"/>
    <row r="500" s="7" customFormat="1" ht="12" hidden="1" customHeight="1" x14ac:dyDescent="0.35"/>
    <row r="501" s="7" customFormat="1" ht="12" hidden="1" customHeight="1" x14ac:dyDescent="0.35"/>
    <row r="502" s="7" customFormat="1" ht="12" hidden="1" customHeight="1" x14ac:dyDescent="0.35"/>
    <row r="503" s="7" customFormat="1" ht="12" hidden="1" customHeight="1" x14ac:dyDescent="0.35"/>
    <row r="504" s="7" customFormat="1" ht="12" hidden="1" customHeight="1" x14ac:dyDescent="0.35"/>
    <row r="505" s="7" customFormat="1" ht="12" hidden="1" customHeight="1" x14ac:dyDescent="0.35"/>
    <row r="506" s="7" customFormat="1" ht="12" hidden="1" customHeight="1" x14ac:dyDescent="0.35"/>
    <row r="507" s="7" customFormat="1" ht="12" hidden="1" customHeight="1" x14ac:dyDescent="0.35"/>
    <row r="508" s="7" customFormat="1" ht="12" hidden="1" customHeight="1" x14ac:dyDescent="0.35"/>
    <row r="509" s="7" customFormat="1" ht="12" hidden="1" customHeight="1" x14ac:dyDescent="0.35"/>
    <row r="510" s="7" customFormat="1" ht="12" hidden="1" customHeight="1" x14ac:dyDescent="0.35"/>
    <row r="511" s="7" customFormat="1" ht="12" hidden="1" customHeight="1" x14ac:dyDescent="0.35"/>
    <row r="512" s="7" customFormat="1" ht="12" hidden="1" customHeight="1" x14ac:dyDescent="0.35"/>
    <row r="513" s="7" customFormat="1" ht="12" hidden="1" customHeight="1" x14ac:dyDescent="0.35"/>
    <row r="514" s="7" customFormat="1" ht="12" hidden="1" customHeight="1" x14ac:dyDescent="0.35"/>
    <row r="515" s="7" customFormat="1" ht="12" hidden="1" customHeight="1" x14ac:dyDescent="0.35"/>
    <row r="516" s="7" customFormat="1" ht="12" hidden="1" customHeight="1" x14ac:dyDescent="0.35"/>
    <row r="517" s="7" customFormat="1" ht="12" hidden="1" customHeight="1" x14ac:dyDescent="0.35"/>
    <row r="518" s="7" customFormat="1" ht="12" hidden="1" customHeight="1" x14ac:dyDescent="0.35"/>
    <row r="519" s="7" customFormat="1" ht="12" hidden="1" customHeight="1" x14ac:dyDescent="0.35"/>
    <row r="520" s="7" customFormat="1" ht="12" hidden="1" customHeight="1" x14ac:dyDescent="0.35"/>
    <row r="521" s="7" customFormat="1" ht="12" hidden="1" customHeight="1" x14ac:dyDescent="0.35"/>
    <row r="522" s="7" customFormat="1" ht="12" hidden="1" customHeight="1" x14ac:dyDescent="0.35"/>
    <row r="523" s="7" customFormat="1" ht="12" hidden="1" customHeight="1" x14ac:dyDescent="0.35"/>
    <row r="524" s="7" customFormat="1" ht="12" hidden="1" customHeight="1" x14ac:dyDescent="0.35"/>
    <row r="525" s="7" customFormat="1" ht="12" hidden="1" customHeight="1" x14ac:dyDescent="0.35"/>
    <row r="526" s="7" customFormat="1" ht="12" hidden="1" customHeight="1" x14ac:dyDescent="0.35"/>
    <row r="527" s="7" customFormat="1" ht="12" hidden="1" customHeight="1" x14ac:dyDescent="0.35"/>
    <row r="528" s="7" customFormat="1" ht="12" hidden="1" customHeight="1" x14ac:dyDescent="0.35"/>
    <row r="529" s="7" customFormat="1" ht="12" hidden="1" customHeight="1" x14ac:dyDescent="0.35"/>
    <row r="530" s="7" customFormat="1" ht="12" hidden="1" customHeight="1" x14ac:dyDescent="0.35"/>
    <row r="531" s="7" customFormat="1" ht="12" hidden="1" customHeight="1" x14ac:dyDescent="0.35"/>
    <row r="532" s="7" customFormat="1" ht="12" hidden="1" customHeight="1" x14ac:dyDescent="0.35"/>
    <row r="533" s="7" customFormat="1" ht="12" hidden="1" customHeight="1" x14ac:dyDescent="0.35"/>
    <row r="534" s="7" customFormat="1" ht="12" hidden="1" customHeight="1" x14ac:dyDescent="0.35"/>
    <row r="535" s="7" customFormat="1" ht="12" hidden="1" customHeight="1" x14ac:dyDescent="0.35"/>
    <row r="536" s="7" customFormat="1" ht="12" hidden="1" customHeight="1" x14ac:dyDescent="0.35"/>
    <row r="537" s="7" customFormat="1" ht="12" hidden="1" customHeight="1" x14ac:dyDescent="0.35"/>
    <row r="538" s="7" customFormat="1" ht="12" hidden="1" customHeight="1" x14ac:dyDescent="0.35"/>
    <row r="539" s="7" customFormat="1" ht="12" hidden="1" customHeight="1" x14ac:dyDescent="0.35"/>
    <row r="540" s="7" customFormat="1" ht="12" hidden="1" customHeight="1" x14ac:dyDescent="0.35"/>
    <row r="541" s="7" customFormat="1" ht="12" hidden="1" customHeight="1" x14ac:dyDescent="0.35"/>
    <row r="542" s="7" customFormat="1" ht="12" hidden="1" customHeight="1" x14ac:dyDescent="0.35"/>
    <row r="543" s="7" customFormat="1" ht="12" hidden="1" customHeight="1" x14ac:dyDescent="0.35"/>
    <row r="544" s="7" customFormat="1" ht="12" hidden="1" customHeight="1" x14ac:dyDescent="0.35"/>
    <row r="545" s="7" customFormat="1" ht="12" hidden="1" customHeight="1" x14ac:dyDescent="0.35"/>
    <row r="546" s="7" customFormat="1" ht="12" hidden="1" customHeight="1" x14ac:dyDescent="0.35"/>
    <row r="547" s="7" customFormat="1" ht="12" hidden="1" customHeight="1" x14ac:dyDescent="0.35"/>
    <row r="548" s="7" customFormat="1" ht="12" hidden="1" customHeight="1" x14ac:dyDescent="0.35"/>
    <row r="549" s="7" customFormat="1" ht="12" hidden="1" customHeight="1" x14ac:dyDescent="0.35"/>
    <row r="550" s="7" customFormat="1" ht="12" hidden="1" customHeight="1" x14ac:dyDescent="0.35"/>
    <row r="551" s="7" customFormat="1" ht="12" hidden="1" customHeight="1" x14ac:dyDescent="0.35"/>
    <row r="552" s="7" customFormat="1" ht="12" hidden="1" customHeight="1" x14ac:dyDescent="0.35"/>
    <row r="553" s="7" customFormat="1" ht="12" hidden="1" customHeight="1" x14ac:dyDescent="0.35"/>
    <row r="554" s="7" customFormat="1" ht="12" hidden="1" customHeight="1" x14ac:dyDescent="0.35"/>
    <row r="555" s="7" customFormat="1" ht="12" hidden="1" customHeight="1" x14ac:dyDescent="0.35"/>
    <row r="556" s="7" customFormat="1" ht="12" hidden="1" customHeight="1" x14ac:dyDescent="0.35"/>
    <row r="557" s="7" customFormat="1" ht="12" hidden="1" customHeight="1" x14ac:dyDescent="0.35"/>
    <row r="558" s="7" customFormat="1" ht="12" hidden="1" customHeight="1" x14ac:dyDescent="0.35"/>
    <row r="559" s="7" customFormat="1" ht="12" hidden="1" customHeight="1" x14ac:dyDescent="0.35"/>
    <row r="560" s="7" customFormat="1" ht="12" hidden="1" customHeight="1" x14ac:dyDescent="0.35"/>
    <row r="561" s="7" customFormat="1" ht="12" hidden="1" customHeight="1" x14ac:dyDescent="0.35"/>
    <row r="562" s="7" customFormat="1" ht="12" hidden="1" customHeight="1" x14ac:dyDescent="0.35"/>
    <row r="563" s="7" customFormat="1" ht="12" hidden="1" customHeight="1" x14ac:dyDescent="0.35"/>
    <row r="564" s="7" customFormat="1" ht="12" hidden="1" customHeight="1" x14ac:dyDescent="0.35"/>
    <row r="565" s="7" customFormat="1" ht="12" hidden="1" customHeight="1" x14ac:dyDescent="0.35"/>
    <row r="566" s="7" customFormat="1" ht="12" hidden="1" customHeight="1" x14ac:dyDescent="0.35"/>
    <row r="567" s="7" customFormat="1" ht="12" hidden="1" customHeight="1" x14ac:dyDescent="0.35"/>
    <row r="568" s="7" customFormat="1" ht="12" hidden="1" customHeight="1" x14ac:dyDescent="0.35"/>
    <row r="569" s="7" customFormat="1" ht="12" hidden="1" customHeight="1" x14ac:dyDescent="0.35"/>
    <row r="570" s="7" customFormat="1" ht="12" hidden="1" customHeight="1" x14ac:dyDescent="0.35"/>
    <row r="571" s="7" customFormat="1" ht="12" hidden="1" customHeight="1" x14ac:dyDescent="0.35"/>
    <row r="572" s="7" customFormat="1" ht="12" hidden="1" customHeight="1" x14ac:dyDescent="0.35"/>
    <row r="573" s="7" customFormat="1" ht="12" hidden="1" customHeight="1" x14ac:dyDescent="0.35"/>
    <row r="574" s="7" customFormat="1" ht="12" hidden="1" customHeight="1" x14ac:dyDescent="0.35"/>
    <row r="575" s="7" customFormat="1" ht="12" hidden="1" customHeight="1" x14ac:dyDescent="0.35"/>
    <row r="576" s="7" customFormat="1" ht="12" hidden="1" customHeight="1" x14ac:dyDescent="0.35"/>
    <row r="577" s="7" customFormat="1" ht="12" hidden="1" customHeight="1" x14ac:dyDescent="0.35"/>
    <row r="578" s="7" customFormat="1" ht="12" hidden="1" customHeight="1" x14ac:dyDescent="0.35"/>
    <row r="579" s="7" customFormat="1" ht="12" hidden="1" customHeight="1" x14ac:dyDescent="0.35"/>
    <row r="580" s="7" customFormat="1" ht="12" hidden="1" customHeight="1" x14ac:dyDescent="0.35"/>
    <row r="581" s="7" customFormat="1" ht="12" hidden="1" customHeight="1" x14ac:dyDescent="0.35"/>
    <row r="582" s="7" customFormat="1" ht="12" hidden="1" customHeight="1" x14ac:dyDescent="0.35"/>
    <row r="583" s="7" customFormat="1" ht="12" hidden="1" customHeight="1" x14ac:dyDescent="0.35"/>
    <row r="584" s="7" customFormat="1" ht="12" hidden="1" customHeight="1" x14ac:dyDescent="0.35"/>
    <row r="585" s="7" customFormat="1" ht="12" hidden="1" customHeight="1" x14ac:dyDescent="0.35"/>
    <row r="586" s="7" customFormat="1" ht="12" hidden="1" customHeight="1" x14ac:dyDescent="0.35"/>
    <row r="587" s="7" customFormat="1" ht="12" hidden="1" customHeight="1" x14ac:dyDescent="0.35"/>
    <row r="588" s="7" customFormat="1" ht="12" hidden="1" customHeight="1" x14ac:dyDescent="0.35"/>
    <row r="589" s="7" customFormat="1" ht="12" hidden="1" customHeight="1" x14ac:dyDescent="0.35"/>
    <row r="590" s="7" customFormat="1" ht="12" hidden="1" customHeight="1" x14ac:dyDescent="0.35"/>
    <row r="591" s="7" customFormat="1" ht="12" hidden="1" customHeight="1" x14ac:dyDescent="0.35"/>
    <row r="592" s="7" customFormat="1" ht="12" hidden="1" customHeight="1" x14ac:dyDescent="0.35"/>
    <row r="593" s="7" customFormat="1" ht="12" hidden="1" customHeight="1" x14ac:dyDescent="0.35"/>
    <row r="594" s="7" customFormat="1" ht="12" hidden="1" customHeight="1" x14ac:dyDescent="0.35"/>
    <row r="595" s="7" customFormat="1" ht="12" hidden="1" customHeight="1" x14ac:dyDescent="0.35"/>
    <row r="596" s="7" customFormat="1" ht="12" hidden="1" customHeight="1" x14ac:dyDescent="0.35"/>
    <row r="597" s="7" customFormat="1" ht="12" hidden="1" customHeight="1" x14ac:dyDescent="0.35"/>
    <row r="598" s="7" customFormat="1" ht="12" hidden="1" customHeight="1" x14ac:dyDescent="0.35"/>
    <row r="599" s="7" customFormat="1" ht="12" hidden="1" customHeight="1" x14ac:dyDescent="0.35"/>
    <row r="600" s="7" customFormat="1" ht="12" hidden="1" customHeight="1" x14ac:dyDescent="0.35"/>
    <row r="601" s="7" customFormat="1" ht="12" hidden="1" customHeight="1" x14ac:dyDescent="0.35"/>
    <row r="602" s="7" customFormat="1" ht="12" hidden="1" customHeight="1" x14ac:dyDescent="0.35"/>
    <row r="603" s="7" customFormat="1" ht="12" hidden="1" customHeight="1" x14ac:dyDescent="0.35"/>
    <row r="604" s="7" customFormat="1" ht="12" hidden="1" customHeight="1" x14ac:dyDescent="0.35"/>
    <row r="605" s="7" customFormat="1" ht="12" hidden="1" customHeight="1" x14ac:dyDescent="0.35"/>
    <row r="606" s="7" customFormat="1" ht="12" hidden="1" customHeight="1" x14ac:dyDescent="0.35"/>
    <row r="607" s="7" customFormat="1" ht="12" hidden="1" customHeight="1" x14ac:dyDescent="0.35"/>
    <row r="608" s="7" customFormat="1" ht="12" hidden="1" customHeight="1" x14ac:dyDescent="0.35"/>
    <row r="609" s="7" customFormat="1" ht="12" hidden="1" customHeight="1" x14ac:dyDescent="0.35"/>
    <row r="610" s="7" customFormat="1" ht="12" hidden="1" customHeight="1" x14ac:dyDescent="0.35"/>
    <row r="611" s="7" customFormat="1" ht="12" hidden="1" customHeight="1" x14ac:dyDescent="0.35"/>
    <row r="612" s="7" customFormat="1" ht="12" hidden="1" customHeight="1" x14ac:dyDescent="0.35"/>
    <row r="613" s="7" customFormat="1" ht="12" hidden="1" customHeight="1" x14ac:dyDescent="0.35"/>
    <row r="614" s="7" customFormat="1" ht="12" hidden="1" customHeight="1" x14ac:dyDescent="0.35"/>
    <row r="615" s="7" customFormat="1" ht="12" hidden="1" customHeight="1" x14ac:dyDescent="0.35"/>
    <row r="616" s="7" customFormat="1" ht="12" hidden="1" customHeight="1" x14ac:dyDescent="0.35"/>
    <row r="617" s="7" customFormat="1" ht="12" hidden="1" customHeight="1" x14ac:dyDescent="0.35"/>
    <row r="618" s="7" customFormat="1" ht="12" hidden="1" customHeight="1" x14ac:dyDescent="0.35"/>
    <row r="619" s="7" customFormat="1" ht="12" hidden="1" customHeight="1" x14ac:dyDescent="0.35"/>
    <row r="620" s="7" customFormat="1" ht="12" hidden="1" customHeight="1" x14ac:dyDescent="0.35"/>
    <row r="621" s="7" customFormat="1" ht="12" hidden="1" customHeight="1" x14ac:dyDescent="0.35"/>
    <row r="622" s="7" customFormat="1" ht="12" hidden="1" customHeight="1" x14ac:dyDescent="0.35"/>
    <row r="623" s="7" customFormat="1" ht="12" hidden="1" customHeight="1" x14ac:dyDescent="0.35"/>
    <row r="624" s="7" customFormat="1" ht="12" hidden="1" customHeight="1" x14ac:dyDescent="0.35"/>
    <row r="625" s="7" customFormat="1" ht="12" hidden="1" customHeight="1" x14ac:dyDescent="0.35"/>
    <row r="626" s="7" customFormat="1" ht="12" hidden="1" customHeight="1" x14ac:dyDescent="0.35"/>
    <row r="627" s="7" customFormat="1" ht="12" hidden="1" customHeight="1" x14ac:dyDescent="0.35"/>
    <row r="628" s="7" customFormat="1" ht="12" hidden="1" customHeight="1" x14ac:dyDescent="0.35"/>
    <row r="629" s="7" customFormat="1" ht="12" hidden="1" customHeight="1" x14ac:dyDescent="0.35"/>
    <row r="630" s="7" customFormat="1" ht="12" hidden="1" customHeight="1" x14ac:dyDescent="0.35"/>
    <row r="631" s="7" customFormat="1" ht="12" hidden="1" customHeight="1" x14ac:dyDescent="0.35"/>
    <row r="632" s="7" customFormat="1" ht="12" hidden="1" customHeight="1" x14ac:dyDescent="0.35"/>
    <row r="633" s="7" customFormat="1" ht="12" hidden="1" customHeight="1" x14ac:dyDescent="0.35"/>
    <row r="634" s="7" customFormat="1" ht="12" hidden="1" customHeight="1" x14ac:dyDescent="0.35"/>
    <row r="635" s="7" customFormat="1" ht="12" hidden="1" customHeight="1" x14ac:dyDescent="0.35"/>
    <row r="636" s="7" customFormat="1" ht="12" hidden="1" customHeight="1" x14ac:dyDescent="0.35"/>
    <row r="637" s="7" customFormat="1" ht="12" hidden="1" customHeight="1" x14ac:dyDescent="0.35"/>
    <row r="638" s="7" customFormat="1" ht="12" hidden="1" customHeight="1" x14ac:dyDescent="0.35"/>
    <row r="639" s="7" customFormat="1" ht="12" hidden="1" customHeight="1" x14ac:dyDescent="0.35"/>
    <row r="640" s="7" customFormat="1" ht="12" hidden="1" customHeight="1" x14ac:dyDescent="0.35"/>
    <row r="641" s="7" customFormat="1" ht="12" hidden="1" customHeight="1" x14ac:dyDescent="0.35"/>
    <row r="642" s="7" customFormat="1" ht="12" hidden="1" customHeight="1" x14ac:dyDescent="0.35"/>
    <row r="643" s="7" customFormat="1" ht="12" hidden="1" customHeight="1" x14ac:dyDescent="0.35"/>
    <row r="644" s="7" customFormat="1" ht="12" hidden="1" customHeight="1" x14ac:dyDescent="0.35"/>
    <row r="645" s="7" customFormat="1" ht="12" hidden="1" customHeight="1" x14ac:dyDescent="0.35"/>
    <row r="646" s="7" customFormat="1" ht="12" hidden="1" customHeight="1" x14ac:dyDescent="0.35"/>
    <row r="647" s="7" customFormat="1" ht="12" hidden="1" customHeight="1" x14ac:dyDescent="0.35"/>
    <row r="648" s="7" customFormat="1" ht="12" hidden="1" customHeight="1" x14ac:dyDescent="0.35"/>
    <row r="649" s="7" customFormat="1" ht="12" hidden="1" customHeight="1" x14ac:dyDescent="0.35"/>
    <row r="650" s="7" customFormat="1" ht="12" hidden="1" customHeight="1" x14ac:dyDescent="0.35"/>
    <row r="651" s="7" customFormat="1" ht="12" hidden="1" customHeight="1" x14ac:dyDescent="0.35"/>
    <row r="652" s="7" customFormat="1" ht="12" hidden="1" customHeight="1" x14ac:dyDescent="0.35"/>
    <row r="653" s="7" customFormat="1" ht="12" hidden="1" customHeight="1" x14ac:dyDescent="0.35"/>
    <row r="654" s="7" customFormat="1" ht="12" hidden="1" customHeight="1" x14ac:dyDescent="0.35"/>
    <row r="655" s="7" customFormat="1" ht="12" hidden="1" customHeight="1" x14ac:dyDescent="0.35"/>
    <row r="656" s="7" customFormat="1" ht="12" hidden="1" customHeight="1" x14ac:dyDescent="0.35"/>
    <row r="657" s="7" customFormat="1" ht="12" hidden="1" customHeight="1" x14ac:dyDescent="0.35"/>
    <row r="658" s="7" customFormat="1" ht="12" hidden="1" customHeight="1" x14ac:dyDescent="0.35"/>
    <row r="659" s="7" customFormat="1" ht="12" hidden="1" customHeight="1" x14ac:dyDescent="0.35"/>
    <row r="660" s="7" customFormat="1" ht="12" hidden="1" customHeight="1" x14ac:dyDescent="0.35"/>
    <row r="661" s="7" customFormat="1" ht="12" hidden="1" customHeight="1" x14ac:dyDescent="0.35"/>
    <row r="662" s="7" customFormat="1" ht="12" hidden="1" customHeight="1" x14ac:dyDescent="0.35"/>
    <row r="663" s="7" customFormat="1" ht="12" hidden="1" customHeight="1" x14ac:dyDescent="0.35"/>
    <row r="664" s="7" customFormat="1" ht="12" hidden="1" customHeight="1" x14ac:dyDescent="0.35"/>
    <row r="665" s="7" customFormat="1" ht="12" hidden="1" customHeight="1" x14ac:dyDescent="0.35"/>
    <row r="666" s="7" customFormat="1" ht="12" hidden="1" customHeight="1" x14ac:dyDescent="0.35"/>
    <row r="667" s="7" customFormat="1" ht="12" hidden="1" customHeight="1" x14ac:dyDescent="0.35"/>
    <row r="668" s="7" customFormat="1" ht="12" hidden="1" customHeight="1" x14ac:dyDescent="0.35"/>
    <row r="669" s="7" customFormat="1" ht="12" hidden="1" customHeight="1" x14ac:dyDescent="0.35"/>
    <row r="670" s="7" customFormat="1" ht="12" hidden="1" customHeight="1" x14ac:dyDescent="0.35"/>
    <row r="671" s="7" customFormat="1" ht="12" hidden="1" customHeight="1" x14ac:dyDescent="0.35"/>
    <row r="672" s="7" customFormat="1" ht="12" hidden="1" customHeight="1" x14ac:dyDescent="0.35"/>
    <row r="673" s="7" customFormat="1" ht="12" hidden="1" customHeight="1" x14ac:dyDescent="0.35"/>
    <row r="674" s="7" customFormat="1" ht="12" hidden="1" customHeight="1" x14ac:dyDescent="0.35"/>
    <row r="675" s="7" customFormat="1" ht="12" hidden="1" customHeight="1" x14ac:dyDescent="0.35"/>
    <row r="676" s="7" customFormat="1" ht="12" hidden="1" customHeight="1" x14ac:dyDescent="0.35"/>
    <row r="677" s="7" customFormat="1" ht="12" hidden="1" customHeight="1" x14ac:dyDescent="0.35"/>
    <row r="678" s="7" customFormat="1" ht="12" hidden="1" customHeight="1" x14ac:dyDescent="0.35"/>
    <row r="679" s="7" customFormat="1" ht="12" hidden="1" customHeight="1" x14ac:dyDescent="0.35"/>
    <row r="680" s="7" customFormat="1" ht="12" hidden="1" customHeight="1" x14ac:dyDescent="0.35"/>
    <row r="681" s="7" customFormat="1" ht="12" hidden="1" customHeight="1" x14ac:dyDescent="0.35"/>
    <row r="682" s="7" customFormat="1" ht="12" hidden="1" customHeight="1" x14ac:dyDescent="0.35"/>
    <row r="683" s="7" customFormat="1" ht="12" hidden="1" customHeight="1" x14ac:dyDescent="0.35"/>
    <row r="684" s="7" customFormat="1" ht="12" hidden="1" customHeight="1" x14ac:dyDescent="0.35"/>
    <row r="685" s="7" customFormat="1" ht="12" hidden="1" customHeight="1" x14ac:dyDescent="0.35"/>
    <row r="686" s="7" customFormat="1" ht="12" hidden="1" customHeight="1" x14ac:dyDescent="0.35"/>
    <row r="687" s="7" customFormat="1" ht="12" hidden="1" customHeight="1" x14ac:dyDescent="0.35"/>
    <row r="688" s="7" customFormat="1" ht="12" hidden="1" customHeight="1" x14ac:dyDescent="0.35"/>
    <row r="689" s="7" customFormat="1" ht="12" hidden="1" customHeight="1" x14ac:dyDescent="0.35"/>
    <row r="690" s="7" customFormat="1" ht="12" hidden="1" customHeight="1" x14ac:dyDescent="0.35"/>
    <row r="691" s="7" customFormat="1" ht="12" hidden="1" customHeight="1" x14ac:dyDescent="0.35"/>
    <row r="692" s="7" customFormat="1" ht="12" hidden="1" customHeight="1" x14ac:dyDescent="0.35"/>
    <row r="693" s="7" customFormat="1" ht="12" hidden="1" customHeight="1" x14ac:dyDescent="0.35"/>
    <row r="694" s="7" customFormat="1" ht="12" hidden="1" customHeight="1" x14ac:dyDescent="0.35"/>
    <row r="695" s="7" customFormat="1" ht="12" hidden="1" customHeight="1" x14ac:dyDescent="0.35"/>
    <row r="696" s="7" customFormat="1" ht="12" hidden="1" customHeight="1" x14ac:dyDescent="0.35"/>
    <row r="697" s="7" customFormat="1" ht="12" hidden="1" customHeight="1" x14ac:dyDescent="0.35"/>
    <row r="698" s="7" customFormat="1" ht="12" hidden="1" customHeight="1" x14ac:dyDescent="0.35"/>
    <row r="699" s="7" customFormat="1" ht="12" hidden="1" customHeight="1" x14ac:dyDescent="0.35"/>
    <row r="700" s="7" customFormat="1" ht="12" hidden="1" customHeight="1" x14ac:dyDescent="0.35"/>
    <row r="701" s="7" customFormat="1" ht="12" hidden="1" customHeight="1" x14ac:dyDescent="0.35"/>
    <row r="702" s="7" customFormat="1" ht="12" hidden="1" customHeight="1" x14ac:dyDescent="0.35"/>
    <row r="703" s="7" customFormat="1" ht="12" hidden="1" customHeight="1" x14ac:dyDescent="0.35"/>
    <row r="704" s="7" customFormat="1" ht="12" hidden="1" customHeight="1" x14ac:dyDescent="0.35"/>
    <row r="705" s="7" customFormat="1" ht="12" hidden="1" customHeight="1" x14ac:dyDescent="0.35"/>
    <row r="706" s="7" customFormat="1" ht="12" hidden="1" customHeight="1" x14ac:dyDescent="0.35"/>
    <row r="707" s="7" customFormat="1" ht="12" hidden="1" customHeight="1" x14ac:dyDescent="0.35"/>
    <row r="708" s="7" customFormat="1" ht="12" hidden="1" customHeight="1" x14ac:dyDescent="0.35"/>
    <row r="709" s="7" customFormat="1" ht="12" hidden="1" customHeight="1" x14ac:dyDescent="0.35"/>
    <row r="710" s="7" customFormat="1" ht="12" hidden="1" customHeight="1" x14ac:dyDescent="0.35"/>
    <row r="711" s="7" customFormat="1" ht="12" hidden="1" customHeight="1" x14ac:dyDescent="0.35"/>
    <row r="712" s="7" customFormat="1" ht="12" hidden="1" customHeight="1" x14ac:dyDescent="0.35"/>
    <row r="713" s="7" customFormat="1" ht="12" hidden="1" customHeight="1" x14ac:dyDescent="0.35"/>
    <row r="714" s="7" customFormat="1" ht="12" hidden="1" customHeight="1" x14ac:dyDescent="0.35"/>
    <row r="715" s="7" customFormat="1" ht="12" hidden="1" customHeight="1" x14ac:dyDescent="0.35"/>
    <row r="716" s="7" customFormat="1" ht="12" hidden="1" customHeight="1" x14ac:dyDescent="0.35"/>
    <row r="717" s="7" customFormat="1" ht="12" hidden="1" customHeight="1" x14ac:dyDescent="0.35"/>
    <row r="718" s="7" customFormat="1" ht="12" hidden="1" customHeight="1" x14ac:dyDescent="0.35"/>
    <row r="719" s="7" customFormat="1" ht="12" hidden="1" customHeight="1" x14ac:dyDescent="0.35"/>
    <row r="720" s="7" customFormat="1" ht="12" hidden="1" customHeight="1" x14ac:dyDescent="0.35"/>
    <row r="721" s="7" customFormat="1" ht="12" hidden="1" customHeight="1" x14ac:dyDescent="0.35"/>
    <row r="722" s="7" customFormat="1" ht="12" hidden="1" customHeight="1" x14ac:dyDescent="0.35"/>
    <row r="723" s="7" customFormat="1" ht="12" hidden="1" customHeight="1" x14ac:dyDescent="0.35"/>
    <row r="724" s="7" customFormat="1" ht="12" hidden="1" customHeight="1" x14ac:dyDescent="0.35"/>
    <row r="725" s="7" customFormat="1" ht="12" hidden="1" customHeight="1" x14ac:dyDescent="0.35"/>
    <row r="726" s="7" customFormat="1" ht="12" hidden="1" customHeight="1" x14ac:dyDescent="0.35"/>
    <row r="727" s="7" customFormat="1" ht="12" hidden="1" customHeight="1" x14ac:dyDescent="0.35"/>
    <row r="728" s="7" customFormat="1" ht="12" hidden="1" customHeight="1" x14ac:dyDescent="0.35"/>
    <row r="729" s="7" customFormat="1" ht="12" hidden="1" customHeight="1" x14ac:dyDescent="0.35"/>
    <row r="730" s="7" customFormat="1" ht="12" hidden="1" customHeight="1" x14ac:dyDescent="0.35"/>
    <row r="731" s="7" customFormat="1" ht="12" hidden="1" customHeight="1" x14ac:dyDescent="0.35"/>
    <row r="732" s="7" customFormat="1" ht="12" hidden="1" customHeight="1" x14ac:dyDescent="0.35"/>
    <row r="733" s="7" customFormat="1" ht="12" hidden="1" customHeight="1" x14ac:dyDescent="0.35"/>
    <row r="734" s="7" customFormat="1" ht="12" hidden="1" customHeight="1" x14ac:dyDescent="0.35"/>
    <row r="735" s="7" customFormat="1" ht="12" hidden="1" customHeight="1" x14ac:dyDescent="0.35"/>
    <row r="736" s="7" customFormat="1" ht="12" hidden="1" customHeight="1" x14ac:dyDescent="0.35"/>
    <row r="737" s="7" customFormat="1" ht="12" hidden="1" customHeight="1" x14ac:dyDescent="0.35"/>
    <row r="738" s="7" customFormat="1" ht="12" hidden="1" customHeight="1" x14ac:dyDescent="0.35"/>
    <row r="739" s="7" customFormat="1" ht="12" hidden="1" customHeight="1" x14ac:dyDescent="0.35"/>
    <row r="740" s="7" customFormat="1" ht="12" hidden="1" customHeight="1" x14ac:dyDescent="0.35"/>
    <row r="741" s="7" customFormat="1" ht="12" hidden="1" customHeight="1" x14ac:dyDescent="0.35"/>
    <row r="742" s="7" customFormat="1" ht="12" hidden="1" customHeight="1" x14ac:dyDescent="0.35"/>
    <row r="743" s="7" customFormat="1" ht="12" hidden="1" customHeight="1" x14ac:dyDescent="0.35"/>
    <row r="744" s="7" customFormat="1" ht="12" hidden="1" customHeight="1" x14ac:dyDescent="0.35"/>
    <row r="745" s="7" customFormat="1" ht="12" hidden="1" customHeight="1" x14ac:dyDescent="0.35"/>
    <row r="746" s="7" customFormat="1" ht="12" hidden="1" customHeight="1" x14ac:dyDescent="0.35"/>
    <row r="747" s="7" customFormat="1" ht="12" hidden="1" customHeight="1" x14ac:dyDescent="0.35"/>
    <row r="748" s="7" customFormat="1" ht="12" hidden="1" customHeight="1" x14ac:dyDescent="0.35"/>
    <row r="749" s="7" customFormat="1" ht="12" hidden="1" customHeight="1" x14ac:dyDescent="0.35"/>
    <row r="750" s="7" customFormat="1" ht="12" hidden="1" customHeight="1" x14ac:dyDescent="0.35"/>
    <row r="751" s="7" customFormat="1" ht="12" hidden="1" customHeight="1" x14ac:dyDescent="0.35"/>
    <row r="752" s="7" customFormat="1" ht="12" hidden="1" customHeight="1" x14ac:dyDescent="0.35"/>
    <row r="753" s="7" customFormat="1" ht="12" hidden="1" customHeight="1" x14ac:dyDescent="0.35"/>
    <row r="754" s="7" customFormat="1" ht="12" hidden="1" customHeight="1" x14ac:dyDescent="0.35"/>
    <row r="755" s="7" customFormat="1" ht="12" hidden="1" customHeight="1" x14ac:dyDescent="0.35"/>
    <row r="756" s="7" customFormat="1" ht="12" hidden="1" customHeight="1" x14ac:dyDescent="0.35"/>
    <row r="757" s="7" customFormat="1" ht="12" hidden="1" customHeight="1" x14ac:dyDescent="0.35"/>
    <row r="758" s="7" customFormat="1" ht="12" hidden="1" customHeight="1" x14ac:dyDescent="0.35"/>
    <row r="759" s="7" customFormat="1" ht="12" hidden="1" customHeight="1" x14ac:dyDescent="0.35"/>
    <row r="760" s="7" customFormat="1" ht="12" hidden="1" customHeight="1" x14ac:dyDescent="0.35"/>
    <row r="761" s="7" customFormat="1" ht="12" hidden="1" customHeight="1" x14ac:dyDescent="0.35"/>
    <row r="762" s="7" customFormat="1" ht="12" hidden="1" customHeight="1" x14ac:dyDescent="0.35"/>
    <row r="763" s="7" customFormat="1" ht="12" hidden="1" customHeight="1" x14ac:dyDescent="0.35"/>
    <row r="764" s="7" customFormat="1" ht="12" hidden="1" customHeight="1" x14ac:dyDescent="0.35"/>
    <row r="765" s="7" customFormat="1" ht="12" hidden="1" customHeight="1" x14ac:dyDescent="0.35"/>
    <row r="766" s="7" customFormat="1" ht="12" hidden="1" customHeight="1" x14ac:dyDescent="0.35"/>
    <row r="767" s="7" customFormat="1" ht="12" hidden="1" customHeight="1" x14ac:dyDescent="0.35"/>
    <row r="768" s="7" customFormat="1" ht="12" hidden="1" customHeight="1" x14ac:dyDescent="0.35"/>
    <row r="769" s="7" customFormat="1" ht="12" hidden="1" customHeight="1" x14ac:dyDescent="0.35"/>
    <row r="770" s="7" customFormat="1" ht="12" hidden="1" customHeight="1" x14ac:dyDescent="0.35"/>
    <row r="771" s="7" customFormat="1" ht="12" hidden="1" customHeight="1" x14ac:dyDescent="0.35"/>
    <row r="772" s="7" customFormat="1" ht="12" hidden="1" customHeight="1" x14ac:dyDescent="0.35"/>
    <row r="773" s="7" customFormat="1" ht="12" hidden="1" customHeight="1" x14ac:dyDescent="0.35"/>
    <row r="774" s="7" customFormat="1" ht="12" hidden="1" customHeight="1" x14ac:dyDescent="0.35"/>
    <row r="775" s="7" customFormat="1" ht="12" hidden="1" customHeight="1" x14ac:dyDescent="0.35"/>
    <row r="776" s="7" customFormat="1" ht="12" hidden="1" customHeight="1" x14ac:dyDescent="0.35"/>
    <row r="777" s="7" customFormat="1" ht="12" hidden="1" customHeight="1" x14ac:dyDescent="0.35"/>
    <row r="778" s="7" customFormat="1" ht="12" hidden="1" customHeight="1" x14ac:dyDescent="0.35"/>
    <row r="779" s="7" customFormat="1" ht="12" hidden="1" customHeight="1" x14ac:dyDescent="0.35"/>
    <row r="780" s="7" customFormat="1" ht="12" hidden="1" customHeight="1" x14ac:dyDescent="0.35"/>
    <row r="781" s="7" customFormat="1" ht="12" hidden="1" customHeight="1" x14ac:dyDescent="0.35"/>
    <row r="782" s="7" customFormat="1" ht="12" hidden="1" customHeight="1" x14ac:dyDescent="0.35"/>
    <row r="783" s="7" customFormat="1" ht="12" hidden="1" customHeight="1" x14ac:dyDescent="0.35"/>
    <row r="784" s="7" customFormat="1" ht="12" hidden="1" customHeight="1" x14ac:dyDescent="0.35"/>
    <row r="785" s="7" customFormat="1" ht="12" hidden="1" customHeight="1" x14ac:dyDescent="0.35"/>
    <row r="786" s="7" customFormat="1" ht="12" hidden="1" customHeight="1" x14ac:dyDescent="0.35"/>
    <row r="787" s="7" customFormat="1" ht="12" hidden="1" customHeight="1" x14ac:dyDescent="0.35"/>
    <row r="788" s="7" customFormat="1" ht="12" hidden="1" customHeight="1" x14ac:dyDescent="0.35"/>
    <row r="789" s="7" customFormat="1" ht="12" hidden="1" customHeight="1" x14ac:dyDescent="0.35"/>
    <row r="790" s="7" customFormat="1" ht="12" hidden="1" customHeight="1" x14ac:dyDescent="0.35"/>
    <row r="791" s="7" customFormat="1" ht="12" hidden="1" customHeight="1" x14ac:dyDescent="0.35"/>
    <row r="792" s="7" customFormat="1" ht="12" hidden="1" customHeight="1" x14ac:dyDescent="0.35"/>
    <row r="793" s="7" customFormat="1" ht="12" hidden="1" customHeight="1" x14ac:dyDescent="0.35"/>
    <row r="794" s="7" customFormat="1" ht="12" hidden="1" customHeight="1" x14ac:dyDescent="0.35"/>
    <row r="795" s="7" customFormat="1" ht="12" hidden="1" customHeight="1" x14ac:dyDescent="0.35"/>
    <row r="796" s="7" customFormat="1" ht="12" hidden="1" customHeight="1" x14ac:dyDescent="0.35"/>
    <row r="797" s="7" customFormat="1" ht="12" hidden="1" customHeight="1" x14ac:dyDescent="0.35"/>
    <row r="798" s="7" customFormat="1" ht="12" hidden="1" customHeight="1" x14ac:dyDescent="0.35"/>
    <row r="799" s="7" customFormat="1" ht="12" hidden="1" customHeight="1" x14ac:dyDescent="0.35"/>
    <row r="800" s="7" customFormat="1" ht="12" hidden="1" customHeight="1" x14ac:dyDescent="0.35"/>
    <row r="801" s="7" customFormat="1" ht="12" hidden="1" customHeight="1" x14ac:dyDescent="0.35"/>
    <row r="802" s="7" customFormat="1" ht="12" hidden="1" customHeight="1" x14ac:dyDescent="0.35"/>
    <row r="803" s="7" customFormat="1" ht="12" hidden="1" customHeight="1" x14ac:dyDescent="0.35"/>
    <row r="804" s="7" customFormat="1" ht="12" hidden="1" customHeight="1" x14ac:dyDescent="0.35"/>
    <row r="805" s="7" customFormat="1" ht="12" hidden="1" customHeight="1" x14ac:dyDescent="0.35"/>
    <row r="806" s="7" customFormat="1" ht="12" hidden="1" customHeight="1" x14ac:dyDescent="0.35"/>
    <row r="807" s="7" customFormat="1" ht="12" hidden="1" customHeight="1" x14ac:dyDescent="0.35"/>
    <row r="808" s="7" customFormat="1" ht="12" hidden="1" customHeight="1" x14ac:dyDescent="0.35"/>
    <row r="809" s="7" customFormat="1" ht="12" hidden="1" customHeight="1" x14ac:dyDescent="0.35"/>
    <row r="810" s="7" customFormat="1" ht="12" hidden="1" customHeight="1" x14ac:dyDescent="0.35"/>
    <row r="811" s="7" customFormat="1" ht="12" hidden="1" customHeight="1" x14ac:dyDescent="0.35"/>
    <row r="812" s="7" customFormat="1" ht="12" hidden="1" customHeight="1" x14ac:dyDescent="0.35"/>
    <row r="813" s="7" customFormat="1" ht="12" hidden="1" customHeight="1" x14ac:dyDescent="0.35"/>
    <row r="814" s="7" customFormat="1" ht="12" hidden="1" customHeight="1" x14ac:dyDescent="0.35"/>
    <row r="815" s="7" customFormat="1" ht="12" hidden="1" customHeight="1" x14ac:dyDescent="0.35"/>
    <row r="816" s="7" customFormat="1" ht="12" hidden="1" customHeight="1" x14ac:dyDescent="0.35"/>
    <row r="817" s="7" customFormat="1" ht="12" hidden="1" customHeight="1" x14ac:dyDescent="0.35"/>
    <row r="818" s="7" customFormat="1" ht="12" hidden="1" customHeight="1" x14ac:dyDescent="0.35"/>
    <row r="819" s="7" customFormat="1" ht="12" hidden="1" customHeight="1" x14ac:dyDescent="0.35"/>
    <row r="820" s="7" customFormat="1" ht="12" hidden="1" customHeight="1" x14ac:dyDescent="0.35"/>
    <row r="821" s="7" customFormat="1" ht="12" hidden="1" customHeight="1" x14ac:dyDescent="0.35"/>
    <row r="822" s="7" customFormat="1" ht="12" hidden="1" customHeight="1" x14ac:dyDescent="0.35"/>
    <row r="823" s="7" customFormat="1" ht="12" hidden="1" customHeight="1" x14ac:dyDescent="0.35"/>
    <row r="824" s="7" customFormat="1" ht="12" hidden="1" customHeight="1" x14ac:dyDescent="0.35"/>
    <row r="825" s="7" customFormat="1" ht="12" hidden="1" customHeight="1" x14ac:dyDescent="0.35"/>
    <row r="826" s="7" customFormat="1" ht="12" hidden="1" customHeight="1" x14ac:dyDescent="0.35"/>
    <row r="827" s="7" customFormat="1" ht="12" hidden="1" customHeight="1" x14ac:dyDescent="0.35"/>
    <row r="828" s="7" customFormat="1" ht="12" hidden="1" customHeight="1" x14ac:dyDescent="0.35"/>
    <row r="829" s="7" customFormat="1" ht="12" hidden="1" customHeight="1" x14ac:dyDescent="0.35"/>
    <row r="830" s="7" customFormat="1" ht="12" hidden="1" customHeight="1" x14ac:dyDescent="0.35"/>
    <row r="831" s="7" customFormat="1" ht="12" hidden="1" customHeight="1" x14ac:dyDescent="0.35"/>
    <row r="832" s="7" customFormat="1" ht="12" hidden="1" customHeight="1" x14ac:dyDescent="0.35"/>
    <row r="833" s="7" customFormat="1" ht="12" hidden="1" customHeight="1" x14ac:dyDescent="0.35"/>
    <row r="834" s="7" customFormat="1" ht="12" hidden="1" customHeight="1" x14ac:dyDescent="0.35"/>
    <row r="835" s="7" customFormat="1" ht="12" hidden="1" customHeight="1" x14ac:dyDescent="0.35"/>
    <row r="836" s="7" customFormat="1" ht="12" hidden="1" customHeight="1" x14ac:dyDescent="0.35"/>
    <row r="837" s="7" customFormat="1" ht="12" hidden="1" customHeight="1" x14ac:dyDescent="0.35"/>
    <row r="838" s="7" customFormat="1" ht="12" hidden="1" customHeight="1" x14ac:dyDescent="0.35"/>
    <row r="839" s="7" customFormat="1" ht="12" hidden="1" customHeight="1" x14ac:dyDescent="0.35"/>
    <row r="840" s="7" customFormat="1" ht="12" hidden="1" customHeight="1" x14ac:dyDescent="0.35"/>
    <row r="841" s="7" customFormat="1" ht="12" hidden="1" customHeight="1" x14ac:dyDescent="0.35"/>
    <row r="842" s="7" customFormat="1" ht="12" hidden="1" customHeight="1" x14ac:dyDescent="0.35"/>
    <row r="843" s="7" customFormat="1" ht="12" hidden="1" customHeight="1" x14ac:dyDescent="0.35"/>
    <row r="844" s="7" customFormat="1" ht="12" hidden="1" customHeight="1" x14ac:dyDescent="0.35"/>
    <row r="845" s="7" customFormat="1" ht="12" hidden="1" customHeight="1" x14ac:dyDescent="0.35"/>
    <row r="846" s="7" customFormat="1" ht="12" hidden="1" customHeight="1" x14ac:dyDescent="0.35"/>
    <row r="847" s="7" customFormat="1" ht="12" hidden="1" customHeight="1" x14ac:dyDescent="0.35"/>
    <row r="848" s="7" customFormat="1" ht="12" hidden="1" customHeight="1" x14ac:dyDescent="0.35"/>
    <row r="849" s="7" customFormat="1" ht="12" hidden="1" customHeight="1" x14ac:dyDescent="0.35"/>
    <row r="850" s="7" customFormat="1" ht="12" hidden="1" customHeight="1" x14ac:dyDescent="0.35"/>
    <row r="851" s="7" customFormat="1" ht="12" hidden="1" customHeight="1" x14ac:dyDescent="0.35"/>
    <row r="852" s="7" customFormat="1" ht="12" hidden="1" customHeight="1" x14ac:dyDescent="0.35"/>
    <row r="853" s="7" customFormat="1" ht="12" hidden="1" customHeight="1" x14ac:dyDescent="0.35"/>
    <row r="854" s="7" customFormat="1" ht="12" hidden="1" customHeight="1" x14ac:dyDescent="0.35"/>
    <row r="855" s="7" customFormat="1" ht="12" hidden="1" customHeight="1" x14ac:dyDescent="0.35"/>
    <row r="856" s="7" customFormat="1" ht="12" hidden="1" customHeight="1" x14ac:dyDescent="0.35"/>
    <row r="857" s="7" customFormat="1" ht="12" hidden="1" customHeight="1" x14ac:dyDescent="0.35"/>
    <row r="858" s="7" customFormat="1" ht="12" hidden="1" customHeight="1" x14ac:dyDescent="0.35"/>
    <row r="859" s="7" customFormat="1" ht="12" hidden="1" customHeight="1" x14ac:dyDescent="0.35"/>
    <row r="860" s="7" customFormat="1" ht="12" hidden="1" customHeight="1" x14ac:dyDescent="0.35"/>
    <row r="861" s="7" customFormat="1" ht="12" hidden="1" customHeight="1" x14ac:dyDescent="0.35"/>
    <row r="862" s="7" customFormat="1" ht="12" hidden="1" customHeight="1" x14ac:dyDescent="0.35"/>
    <row r="863" s="7" customFormat="1" ht="12" hidden="1" customHeight="1" x14ac:dyDescent="0.35"/>
    <row r="864" s="7" customFormat="1" ht="12" hidden="1" customHeight="1" x14ac:dyDescent="0.35"/>
    <row r="865" s="7" customFormat="1" ht="12" hidden="1" customHeight="1" x14ac:dyDescent="0.35"/>
    <row r="866" s="7" customFormat="1" ht="12" hidden="1" customHeight="1" x14ac:dyDescent="0.35"/>
    <row r="867" s="7" customFormat="1" ht="12" hidden="1" customHeight="1" x14ac:dyDescent="0.35"/>
    <row r="868" s="7" customFormat="1" ht="12" hidden="1" customHeight="1" x14ac:dyDescent="0.35"/>
    <row r="869" s="7" customFormat="1" ht="12" hidden="1" customHeight="1" x14ac:dyDescent="0.35"/>
    <row r="870" s="7" customFormat="1" ht="12" hidden="1" customHeight="1" x14ac:dyDescent="0.35"/>
    <row r="871" s="7" customFormat="1" ht="12" hidden="1" customHeight="1" x14ac:dyDescent="0.35"/>
    <row r="872" s="7" customFormat="1" ht="12" hidden="1" customHeight="1" x14ac:dyDescent="0.35"/>
    <row r="873" s="7" customFormat="1" ht="12" hidden="1" customHeight="1" x14ac:dyDescent="0.35"/>
    <row r="874" s="7" customFormat="1" ht="12" hidden="1" customHeight="1" x14ac:dyDescent="0.35"/>
    <row r="875" s="7" customFormat="1" ht="12" hidden="1" customHeight="1" x14ac:dyDescent="0.35"/>
    <row r="876" s="7" customFormat="1" ht="12" hidden="1" customHeight="1" x14ac:dyDescent="0.35"/>
    <row r="877" s="7" customFormat="1" ht="12" hidden="1" customHeight="1" x14ac:dyDescent="0.35"/>
    <row r="878" s="7" customFormat="1" ht="12" hidden="1" customHeight="1" x14ac:dyDescent="0.35"/>
    <row r="879" s="7" customFormat="1" ht="12" hidden="1" customHeight="1" x14ac:dyDescent="0.35"/>
    <row r="880" s="7" customFormat="1" ht="12" hidden="1" customHeight="1" x14ac:dyDescent="0.35"/>
    <row r="881" s="7" customFormat="1" ht="12" hidden="1" customHeight="1" x14ac:dyDescent="0.35"/>
    <row r="882" s="7" customFormat="1" ht="12" hidden="1" customHeight="1" x14ac:dyDescent="0.35"/>
    <row r="883" s="7" customFormat="1" ht="12" hidden="1" customHeight="1" x14ac:dyDescent="0.35"/>
    <row r="884" s="7" customFormat="1" ht="12" hidden="1" customHeight="1" x14ac:dyDescent="0.35"/>
    <row r="885" s="7" customFormat="1" ht="12" hidden="1" customHeight="1" x14ac:dyDescent="0.35"/>
    <row r="886" s="7" customFormat="1" ht="12" hidden="1" customHeight="1" x14ac:dyDescent="0.35"/>
    <row r="887" s="7" customFormat="1" ht="12" hidden="1" customHeight="1" x14ac:dyDescent="0.35"/>
    <row r="888" s="7" customFormat="1" ht="12" hidden="1" customHeight="1" x14ac:dyDescent="0.35"/>
    <row r="889" s="7" customFormat="1" ht="12" hidden="1" customHeight="1" x14ac:dyDescent="0.35"/>
    <row r="890" s="7" customFormat="1" ht="12" hidden="1" customHeight="1" x14ac:dyDescent="0.35"/>
    <row r="891" s="7" customFormat="1" ht="12" hidden="1" customHeight="1" x14ac:dyDescent="0.35"/>
    <row r="892" s="7" customFormat="1" ht="12" hidden="1" customHeight="1" x14ac:dyDescent="0.35"/>
    <row r="893" s="7" customFormat="1" ht="12" hidden="1" customHeight="1" x14ac:dyDescent="0.35"/>
    <row r="894" s="7" customFormat="1" ht="12" hidden="1" customHeight="1" x14ac:dyDescent="0.35"/>
    <row r="895" s="7" customFormat="1" ht="12" hidden="1" customHeight="1" x14ac:dyDescent="0.35"/>
    <row r="896" s="7" customFormat="1" ht="12" hidden="1" customHeight="1" x14ac:dyDescent="0.35"/>
    <row r="897" s="7" customFormat="1" ht="12" hidden="1" customHeight="1" x14ac:dyDescent="0.35"/>
    <row r="898" s="7" customFormat="1" ht="12" hidden="1" customHeight="1" x14ac:dyDescent="0.35"/>
    <row r="899" s="7" customFormat="1" ht="12" hidden="1" customHeight="1" x14ac:dyDescent="0.35"/>
    <row r="900" s="7" customFormat="1" ht="12" hidden="1" customHeight="1" x14ac:dyDescent="0.35"/>
    <row r="901" s="7" customFormat="1" ht="12" hidden="1" customHeight="1" x14ac:dyDescent="0.35"/>
    <row r="902" s="7" customFormat="1" ht="12" hidden="1" customHeight="1" x14ac:dyDescent="0.35"/>
    <row r="903" s="7" customFormat="1" ht="12" hidden="1" customHeight="1" x14ac:dyDescent="0.35"/>
    <row r="904" s="7" customFormat="1" ht="12" hidden="1" customHeight="1" x14ac:dyDescent="0.35"/>
    <row r="905" s="7" customFormat="1" ht="12" hidden="1" customHeight="1" x14ac:dyDescent="0.35"/>
    <row r="906" s="7" customFormat="1" ht="12" hidden="1" customHeight="1" x14ac:dyDescent="0.35"/>
    <row r="907" s="7" customFormat="1" ht="12" hidden="1" customHeight="1" x14ac:dyDescent="0.35"/>
    <row r="908" s="7" customFormat="1" ht="12" hidden="1" customHeight="1" x14ac:dyDescent="0.35"/>
    <row r="909" s="7" customFormat="1" ht="12" hidden="1" customHeight="1" x14ac:dyDescent="0.35"/>
    <row r="910" s="7" customFormat="1" ht="12" hidden="1" customHeight="1" x14ac:dyDescent="0.35"/>
    <row r="911" s="7" customFormat="1" ht="12" hidden="1" customHeight="1" x14ac:dyDescent="0.35"/>
    <row r="912" s="7" customFormat="1" ht="12" hidden="1" customHeight="1" x14ac:dyDescent="0.35"/>
    <row r="913" s="7" customFormat="1" ht="12" hidden="1" customHeight="1" x14ac:dyDescent="0.35"/>
    <row r="914" s="7" customFormat="1" ht="12" hidden="1" customHeight="1" x14ac:dyDescent="0.35"/>
    <row r="915" s="7" customFormat="1" ht="12" hidden="1" customHeight="1" x14ac:dyDescent="0.35"/>
    <row r="916" s="7" customFormat="1" ht="12" hidden="1" customHeight="1" x14ac:dyDescent="0.35"/>
    <row r="917" s="7" customFormat="1" ht="12" hidden="1" customHeight="1" x14ac:dyDescent="0.35"/>
    <row r="918" s="7" customFormat="1" ht="12" hidden="1" customHeight="1" x14ac:dyDescent="0.35"/>
    <row r="919" s="7" customFormat="1" ht="12" hidden="1" customHeight="1" x14ac:dyDescent="0.35"/>
    <row r="920" s="7" customFormat="1" ht="12" hidden="1" customHeight="1" x14ac:dyDescent="0.35"/>
    <row r="921" s="7" customFormat="1" ht="12" hidden="1" customHeight="1" x14ac:dyDescent="0.35"/>
    <row r="922" s="7" customFormat="1" ht="12" hidden="1" customHeight="1" x14ac:dyDescent="0.35"/>
    <row r="923" s="7" customFormat="1" ht="12" hidden="1" customHeight="1" x14ac:dyDescent="0.35"/>
    <row r="924" s="7" customFormat="1" ht="12" hidden="1" customHeight="1" x14ac:dyDescent="0.35"/>
    <row r="925" s="7" customFormat="1" ht="12" hidden="1" customHeight="1" x14ac:dyDescent="0.35"/>
    <row r="926" s="7" customFormat="1" ht="12" hidden="1" customHeight="1" x14ac:dyDescent="0.35"/>
    <row r="927" s="7" customFormat="1" ht="12" hidden="1" customHeight="1" x14ac:dyDescent="0.35"/>
    <row r="928" s="7" customFormat="1" ht="12" hidden="1" customHeight="1" x14ac:dyDescent="0.35"/>
    <row r="929" s="7" customFormat="1" ht="12" hidden="1" customHeight="1" x14ac:dyDescent="0.35"/>
    <row r="930" s="7" customFormat="1" ht="12" hidden="1" customHeight="1" x14ac:dyDescent="0.35"/>
    <row r="931" s="7" customFormat="1" ht="12" hidden="1" customHeight="1" x14ac:dyDescent="0.35"/>
    <row r="932" s="7" customFormat="1" ht="12" hidden="1" customHeight="1" x14ac:dyDescent="0.35"/>
    <row r="933" s="7" customFormat="1" ht="12" hidden="1" customHeight="1" x14ac:dyDescent="0.35"/>
    <row r="934" s="7" customFormat="1" ht="12" hidden="1" customHeight="1" x14ac:dyDescent="0.35"/>
    <row r="935" s="7" customFormat="1" ht="12" hidden="1" customHeight="1" x14ac:dyDescent="0.35"/>
    <row r="936" s="7" customFormat="1" ht="12" hidden="1" customHeight="1" x14ac:dyDescent="0.35"/>
    <row r="937" s="7" customFormat="1" ht="12" hidden="1" customHeight="1" x14ac:dyDescent="0.35"/>
    <row r="938" s="7" customFormat="1" ht="12" hidden="1" customHeight="1" x14ac:dyDescent="0.35"/>
    <row r="939" s="7" customFormat="1" ht="12" hidden="1" customHeight="1" x14ac:dyDescent="0.35"/>
    <row r="940" s="7" customFormat="1" ht="12" hidden="1" customHeight="1" x14ac:dyDescent="0.35"/>
    <row r="941" s="7" customFormat="1" ht="12" hidden="1" customHeight="1" x14ac:dyDescent="0.35"/>
    <row r="942" s="7" customFormat="1" ht="12" hidden="1" customHeight="1" x14ac:dyDescent="0.35"/>
    <row r="943" s="7" customFormat="1" ht="12" hidden="1" customHeight="1" x14ac:dyDescent="0.35"/>
    <row r="944" s="7" customFormat="1" ht="12" hidden="1" customHeight="1" x14ac:dyDescent="0.35"/>
    <row r="945" s="7" customFormat="1" ht="12" hidden="1" customHeight="1" x14ac:dyDescent="0.35"/>
    <row r="946" s="7" customFormat="1" ht="12" hidden="1" customHeight="1" x14ac:dyDescent="0.35"/>
    <row r="947" s="7" customFormat="1" ht="12" hidden="1" customHeight="1" x14ac:dyDescent="0.35"/>
    <row r="948" s="7" customFormat="1" ht="12" hidden="1" customHeight="1" x14ac:dyDescent="0.35"/>
    <row r="949" s="7" customFormat="1" ht="12" hidden="1" customHeight="1" x14ac:dyDescent="0.35"/>
    <row r="950" s="7" customFormat="1" ht="12" hidden="1" customHeight="1" x14ac:dyDescent="0.35"/>
    <row r="951" s="7" customFormat="1" ht="12" hidden="1" customHeight="1" x14ac:dyDescent="0.35"/>
    <row r="952" s="7" customFormat="1" ht="12" hidden="1" customHeight="1" x14ac:dyDescent="0.35"/>
    <row r="953" s="7" customFormat="1" ht="12" hidden="1" customHeight="1" x14ac:dyDescent="0.35"/>
    <row r="954" s="7" customFormat="1" ht="12" hidden="1" customHeight="1" x14ac:dyDescent="0.35"/>
    <row r="955" s="7" customFormat="1" ht="12" hidden="1" customHeight="1" x14ac:dyDescent="0.35"/>
    <row r="956" s="7" customFormat="1" ht="12" hidden="1" customHeight="1" x14ac:dyDescent="0.35"/>
    <row r="957" s="7" customFormat="1" ht="12" hidden="1" customHeight="1" x14ac:dyDescent="0.35"/>
    <row r="958" s="7" customFormat="1" ht="12" hidden="1" customHeight="1" x14ac:dyDescent="0.35"/>
    <row r="959" s="7" customFormat="1" ht="12" hidden="1" customHeight="1" x14ac:dyDescent="0.35"/>
    <row r="960" s="7" customFormat="1" ht="12" hidden="1" customHeight="1" x14ac:dyDescent="0.35"/>
    <row r="961" s="7" customFormat="1" ht="12" hidden="1" customHeight="1" x14ac:dyDescent="0.35"/>
    <row r="962" s="7" customFormat="1" ht="12" hidden="1" customHeight="1" x14ac:dyDescent="0.35"/>
    <row r="963" s="7" customFormat="1" ht="12" hidden="1" customHeight="1" x14ac:dyDescent="0.35"/>
    <row r="964" s="7" customFormat="1" ht="12" hidden="1" customHeight="1" x14ac:dyDescent="0.35"/>
    <row r="965" s="7" customFormat="1" ht="12" hidden="1" customHeight="1" x14ac:dyDescent="0.35"/>
    <row r="966" s="7" customFormat="1" ht="12" hidden="1" customHeight="1" x14ac:dyDescent="0.35"/>
    <row r="967" s="7" customFormat="1" ht="12" hidden="1" customHeight="1" x14ac:dyDescent="0.35"/>
    <row r="968" s="7" customFormat="1" ht="12" hidden="1" customHeight="1" x14ac:dyDescent="0.35"/>
    <row r="969" s="7" customFormat="1" ht="12" hidden="1" customHeight="1" x14ac:dyDescent="0.35"/>
    <row r="970" s="7" customFormat="1" ht="12" hidden="1" customHeight="1" x14ac:dyDescent="0.35"/>
    <row r="971" s="7" customFormat="1" ht="12" hidden="1" customHeight="1" x14ac:dyDescent="0.35"/>
    <row r="972" s="7" customFormat="1" ht="12" hidden="1" customHeight="1" x14ac:dyDescent="0.35"/>
    <row r="973" s="7" customFormat="1" ht="12" hidden="1" customHeight="1" x14ac:dyDescent="0.35"/>
    <row r="974" s="7" customFormat="1" ht="12" hidden="1" customHeight="1" x14ac:dyDescent="0.35"/>
    <row r="975" s="7" customFormat="1" ht="12" hidden="1" customHeight="1" x14ac:dyDescent="0.35"/>
    <row r="976" s="7" customFormat="1" ht="12" hidden="1" customHeight="1" x14ac:dyDescent="0.35"/>
    <row r="977" s="7" customFormat="1" ht="12" hidden="1" customHeight="1" x14ac:dyDescent="0.35"/>
    <row r="978" s="7" customFormat="1" ht="12" hidden="1" customHeight="1" x14ac:dyDescent="0.35"/>
    <row r="979" s="7" customFormat="1" ht="12" hidden="1" customHeight="1" x14ac:dyDescent="0.35"/>
    <row r="980" s="7" customFormat="1" ht="12" hidden="1" customHeight="1" x14ac:dyDescent="0.35"/>
    <row r="981" s="7" customFormat="1" ht="12" hidden="1" customHeight="1" x14ac:dyDescent="0.35"/>
    <row r="982" s="7" customFormat="1" ht="12" hidden="1" customHeight="1" x14ac:dyDescent="0.35"/>
    <row r="983" s="7" customFormat="1" ht="12" hidden="1" customHeight="1" x14ac:dyDescent="0.35"/>
    <row r="984" s="7" customFormat="1" ht="12" hidden="1" customHeight="1" x14ac:dyDescent="0.35"/>
    <row r="985" s="7" customFormat="1" ht="12" hidden="1" customHeight="1" x14ac:dyDescent="0.35"/>
    <row r="986" s="7" customFormat="1" ht="12" hidden="1" customHeight="1" x14ac:dyDescent="0.35"/>
    <row r="987" s="7" customFormat="1" ht="12" hidden="1" customHeight="1" x14ac:dyDescent="0.35"/>
    <row r="988" s="7" customFormat="1" ht="12" hidden="1" customHeight="1" x14ac:dyDescent="0.35"/>
    <row r="989" s="7" customFormat="1" ht="12" hidden="1" customHeight="1" x14ac:dyDescent="0.35"/>
    <row r="990" s="7" customFormat="1" ht="12" hidden="1" customHeight="1" x14ac:dyDescent="0.35"/>
    <row r="991" s="7" customFormat="1" ht="12" hidden="1" customHeight="1" x14ac:dyDescent="0.35"/>
    <row r="992" s="7" customFormat="1" ht="12" hidden="1" customHeight="1" x14ac:dyDescent="0.35"/>
    <row r="993" s="7" customFormat="1" ht="12" hidden="1" customHeight="1" x14ac:dyDescent="0.35"/>
    <row r="994" s="7" customFormat="1" ht="12" hidden="1" customHeight="1" x14ac:dyDescent="0.35"/>
    <row r="995" s="7" customFormat="1" ht="12" hidden="1" customHeight="1" x14ac:dyDescent="0.35"/>
    <row r="996" s="7" customFormat="1" ht="12" hidden="1" customHeight="1" x14ac:dyDescent="0.35"/>
    <row r="997" s="7" customFormat="1" ht="12" hidden="1" customHeight="1" x14ac:dyDescent="0.35"/>
    <row r="998" s="7" customFormat="1" ht="12" hidden="1" customHeight="1" x14ac:dyDescent="0.35"/>
    <row r="999" s="7" customFormat="1" ht="12" hidden="1" customHeight="1" x14ac:dyDescent="0.35"/>
    <row r="1000" s="7" customFormat="1" ht="12" hidden="1" customHeight="1" x14ac:dyDescent="0.35"/>
    <row r="1001" s="7" customFormat="1" ht="12" hidden="1" customHeight="1" x14ac:dyDescent="0.35"/>
    <row r="1002" s="7" customFormat="1" ht="12" hidden="1" customHeight="1" x14ac:dyDescent="0.35"/>
    <row r="1003" s="7" customFormat="1" ht="12" hidden="1" customHeight="1" x14ac:dyDescent="0.35"/>
    <row r="1004" s="7" customFormat="1" ht="12" hidden="1" customHeight="1" x14ac:dyDescent="0.35"/>
    <row r="1005" s="7" customFormat="1" ht="12" hidden="1" customHeight="1" x14ac:dyDescent="0.35"/>
    <row r="1006" s="7" customFormat="1" ht="12" hidden="1" customHeight="1" x14ac:dyDescent="0.35"/>
    <row r="1007" s="7" customFormat="1" ht="12" hidden="1" customHeight="1" x14ac:dyDescent="0.35"/>
    <row r="1008" s="7" customFormat="1" ht="12" hidden="1" customHeight="1" x14ac:dyDescent="0.35"/>
    <row r="1009" s="7" customFormat="1" ht="12" hidden="1" customHeight="1" x14ac:dyDescent="0.35"/>
    <row r="1010" s="7" customFormat="1" ht="12" hidden="1" customHeight="1" x14ac:dyDescent="0.35"/>
    <row r="1011" s="7" customFormat="1" ht="12" hidden="1" customHeight="1" x14ac:dyDescent="0.35"/>
    <row r="1012" s="7" customFormat="1" ht="12" hidden="1" customHeight="1" x14ac:dyDescent="0.35"/>
    <row r="1013" s="7" customFormat="1" ht="12" hidden="1" customHeight="1" x14ac:dyDescent="0.35"/>
    <row r="1014" s="7" customFormat="1" ht="12" hidden="1" customHeight="1" x14ac:dyDescent="0.35"/>
    <row r="1015" s="7" customFormat="1" ht="12" hidden="1" customHeight="1" x14ac:dyDescent="0.35"/>
    <row r="1016" s="7" customFormat="1" ht="12" hidden="1" customHeight="1" x14ac:dyDescent="0.35"/>
    <row r="1017" s="7" customFormat="1" ht="12" hidden="1" customHeight="1" x14ac:dyDescent="0.35"/>
    <row r="1018" s="7" customFormat="1" ht="12" hidden="1" customHeight="1" x14ac:dyDescent="0.35"/>
    <row r="1019" s="7" customFormat="1" ht="12" hidden="1" customHeight="1" x14ac:dyDescent="0.35"/>
    <row r="1020" s="7" customFormat="1" ht="12" hidden="1" customHeight="1" x14ac:dyDescent="0.35"/>
    <row r="1021" s="7" customFormat="1" ht="12" hidden="1" customHeight="1" x14ac:dyDescent="0.35"/>
    <row r="1022" s="7" customFormat="1" ht="12" hidden="1" customHeight="1" x14ac:dyDescent="0.35"/>
    <row r="1023" s="7" customFormat="1" ht="12" hidden="1" customHeight="1" x14ac:dyDescent="0.35"/>
    <row r="1024" s="7" customFormat="1" ht="12" hidden="1" customHeight="1" x14ac:dyDescent="0.35"/>
    <row r="1025" s="7" customFormat="1" ht="12" hidden="1" customHeight="1" x14ac:dyDescent="0.35"/>
    <row r="1026" s="7" customFormat="1" ht="12" hidden="1" customHeight="1" x14ac:dyDescent="0.35"/>
    <row r="1027" s="7" customFormat="1" ht="12" hidden="1" customHeight="1" x14ac:dyDescent="0.35"/>
    <row r="1028" s="7" customFormat="1" ht="12" hidden="1" customHeight="1" x14ac:dyDescent="0.35"/>
    <row r="1029" s="7" customFormat="1" ht="12" hidden="1" customHeight="1" x14ac:dyDescent="0.35"/>
    <row r="1030" s="7" customFormat="1" ht="12" hidden="1" customHeight="1" x14ac:dyDescent="0.35"/>
    <row r="1031" s="7" customFormat="1" ht="12" hidden="1" customHeight="1" x14ac:dyDescent="0.35"/>
    <row r="1032" s="7" customFormat="1" ht="12" hidden="1" customHeight="1" x14ac:dyDescent="0.35"/>
    <row r="1033" s="7" customFormat="1" ht="12" hidden="1" customHeight="1" x14ac:dyDescent="0.35"/>
    <row r="1034" s="7" customFormat="1" ht="12" hidden="1" customHeight="1" x14ac:dyDescent="0.35"/>
    <row r="1035" s="7" customFormat="1" ht="12" hidden="1" customHeight="1" x14ac:dyDescent="0.35"/>
    <row r="1036" s="7" customFormat="1" ht="12" hidden="1" customHeight="1" x14ac:dyDescent="0.35"/>
    <row r="1037" s="7" customFormat="1" ht="12" hidden="1" customHeight="1" x14ac:dyDescent="0.35"/>
  </sheetData>
  <sheetProtection algorithmName="SHA-512" hashValue="dsFL7yOxJwGU1DfG3MezC7cibZJQar/g8GbcoaNNfJ8VSpFVZtX+aYUIc4AF2qlqcOLpsxiw5uU1Q9v5nu76OA==" saltValue="V8LkTtKsKHT9wlTjzI5jgQ==" spinCount="100000" sheet="1" scenarios="1"/>
  <mergeCells count="1">
    <mergeCell ref="B75:C75"/>
  </mergeCells>
  <conditionalFormatting sqref="E48:U48">
    <cfRule type="cellIs" dxfId="2" priority="1" operator="lessThanOrEqual">
      <formula>50</formula>
    </cfRule>
    <cfRule type="cellIs" dxfId="1" priority="2" operator="lessThanOrEqual">
      <formula>300</formula>
    </cfRule>
    <cfRule type="cellIs" dxfId="0" priority="3" operator="greaterThan">
      <formula>300</formula>
    </cfRule>
  </conditionalFormatting>
  <hyperlinks>
    <hyperlink ref="E3" r:id="rId1" xr:uid="{00000000-0004-0000-0000-000000000000}"/>
  </hyperlinks>
  <pageMargins left="0.7" right="0.7" top="0.78740157499999996" bottom="0.78740157499999996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A5DB7C7D28AD4AB3CBBE312EE23C74" ma:contentTypeVersion="7" ma:contentTypeDescription="Ein neues Dokument erstellen." ma:contentTypeScope="" ma:versionID="29494b799eb7841825f550e24d2b3145">
  <xsd:schema xmlns:xsd="http://www.w3.org/2001/XMLSchema" xmlns:xs="http://www.w3.org/2001/XMLSchema" xmlns:p="http://schemas.microsoft.com/office/2006/metadata/properties" xmlns:ns2="0ddca5fb-c2f1-4854-8250-935fe8f6086a" targetNamespace="http://schemas.microsoft.com/office/2006/metadata/properties" ma:root="true" ma:fieldsID="38e25b967e4f1574a7f89da3f3ae9fdf" ns2:_="">
    <xsd:import namespace="0ddca5fb-c2f1-4854-8250-935fe8f60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ca5fb-c2f1-4854-8250-935fe8f60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DEE230-8658-4DDE-8242-BBC37B1AB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ca5fb-c2f1-4854-8250-935fe8f60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1FF0F-23B3-4F24-87D8-204AE7B4FED6}">
  <ds:schemaRefs>
    <ds:schemaRef ds:uri="a84c1963-4ba8-42e7-8e1d-6824e8b04b58"/>
    <ds:schemaRef ds:uri="49bc8a29-d30d-409d-903a-ff6ddf57c70c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E3B57F-8E88-4B3D-AE99-BD31B6DF25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Eingaben</vt:lpstr>
      <vt:lpstr>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Verenum</dc:creator>
  <cp:lastModifiedBy>Stefan Thalmann</cp:lastModifiedBy>
  <dcterms:created xsi:type="dcterms:W3CDTF">2010-05-11T13:16:40Z</dcterms:created>
  <dcterms:modified xsi:type="dcterms:W3CDTF">2026-03-31T14:09:13Z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177100</vt:r8>
  </property>
  <property fmtid="{D5CDD505-2E9C-101B-9397-08002B2CF9AE}" pid="3" name="ContentTypeId">
    <vt:lpwstr>0x01010079A5DB7C7D28AD4AB3CBBE312EE23C74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